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Override PartName="/xl/workbook.xml" ContentType="application/vnd.openxmlformats-officedocument.spreadsheetml.sheet.main+xml"/>
  <Override PartName="/xl/theme/theme1.xml" ContentType="application/vnd.openxmlformats-officedocument.theme+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Types>
</file>

<file path=_rels/.rels><?xml version="1.0" encoding="UTF-8" standalone="yes"?><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bookViews>
    <workbookView xWindow="31545" yWindow="990" windowWidth="22065" windowHeight="14880" activeTab="3"/>
  </bookViews>
  <sheets>
    <sheet name="1 - First Distribution " sheetId="2" r:id="rId1"/>
    <sheet name="2 - Second Distribution" sheetId="6" r:id="rId2"/>
    <sheet name="3 - Catch-up Payments" sheetId="4" r:id="rId3"/>
    <sheet name="4 - Third Distribution" sheetId="10" r:id="rId4"/>
  </sheets>
  <definedNames/>
  <calcPr fullCalcOnLoad="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<sst xmlns="http://schemas.openxmlformats.org/spreadsheetml/2006/main" count="244" uniqueCount="171">
  <si>
    <t>Total Amount Available for Distribution</t>
  </si>
  <si>
    <t>£</t>
  </si>
  <si>
    <t>Elevated Pensions DRS Liability Cap Amount (Pre-Deduction)</t>
  </si>
  <si>
    <t>Elevated Pensions DRS Liability Cap Amount (Post-Deduction)</t>
  </si>
  <si>
    <t xml:space="preserve">Total Amount of Liabilities Ranking Pursuant to 16.1(e) </t>
  </si>
  <si>
    <t xml:space="preserve">  RCF</t>
  </si>
  <si>
    <t xml:space="preserve">  Notes</t>
  </si>
  <si>
    <t xml:space="preserve">  DRS Pension</t>
  </si>
  <si>
    <t>Total Amount Available for Distribution (Post-K&amp;E Fees and Outlays)</t>
  </si>
  <si>
    <t xml:space="preserve">Amount to be Distributed to: </t>
  </si>
  <si>
    <t>First Distribution payable to:</t>
  </si>
  <si>
    <t>Second Distribution payable to:</t>
  </si>
  <si>
    <t xml:space="preserve">  DEPP Pension</t>
  </si>
  <si>
    <t>Total Amount Available for Distribution (Post Fees and Outlays)</t>
  </si>
  <si>
    <t>DRS Cap Amount Calculations</t>
  </si>
  <si>
    <t>Elevated Pensions DRS Liabilities Floor Amount (Pre-Deduction)</t>
  </si>
  <si>
    <t>Elevated Pensions DRS Liabilities Floor Amount (Post-Deduction)</t>
  </si>
  <si>
    <t>Elevated Pensions DRS Liability Cap Amount exceeds Floor Amount, therefore Cap Amount is used</t>
  </si>
  <si>
    <t>DEPP Cap Amount Calculations</t>
  </si>
  <si>
    <t>Elevated Pensions DEPP Liability Cap Amount (Post-Deduction)</t>
  </si>
  <si>
    <t>Elevated Pensions DEPP Liabilities Floor Amount (Post-Deduction)</t>
  </si>
  <si>
    <t>RCF Cap Amount Calculations</t>
  </si>
  <si>
    <t>Elevated Second Lien Facility Cap Amount (Pre-Deduction)</t>
  </si>
  <si>
    <t>Notes Cap Amount Calculations</t>
  </si>
  <si>
    <t>Elevated Second Lien Notes Cap Amount (Pre-Deduction)</t>
  </si>
  <si>
    <t>Amounts to be Distributed</t>
  </si>
  <si>
    <t>Elevated Pensions DEPP Liability Cap Amount exceeds Floor Amount, therefore Cap Amount is used</t>
  </si>
  <si>
    <t xml:space="preserve"> </t>
  </si>
  <si>
    <t>Total payable (in respect of First and Second Distributions) to:</t>
  </si>
  <si>
    <t xml:space="preserve">Tab 1 - First Distribution </t>
  </si>
  <si>
    <t>Tab 2 - Second Distribution</t>
  </si>
  <si>
    <t>K&amp;E Fees and Outlays</t>
  </si>
  <si>
    <t xml:space="preserve">  DRS Pension Trustee</t>
  </si>
  <si>
    <t xml:space="preserve">  DEPP Pension Trustee</t>
  </si>
  <si>
    <t>Total amount available for distribution (post fees and outlays and notional recovery of overpayments)</t>
  </si>
  <si>
    <t>MB Fees and Outlays (1)</t>
  </si>
  <si>
    <t xml:space="preserve">(2) K&amp;E fees up incurred since the previous distribution, plus £19,573.82 that remained unpaid from the previous set of invoices. </t>
  </si>
  <si>
    <t>Elevated Pensions DEPP Liability Cap Amount does not exceed Floor Amount, therefore Floor Amount is used</t>
  </si>
  <si>
    <t>Pension Trustee methodology</t>
  </si>
  <si>
    <t>Security Agent methodology</t>
  </si>
  <si>
    <t>(8) Overpayment, so reduced distributions required going forward</t>
  </si>
  <si>
    <t>Elevated Pensions DEPP Liabilities Floor Amount  (Pre-Deduction)</t>
  </si>
  <si>
    <t>FTI retention amount</t>
  </si>
  <si>
    <t>Total outstanding Elevated Pension Liabilities and Elevated Second Lien Non Pension Liabilities (subject to relevant caps)</t>
  </si>
  <si>
    <t>Elevated Second Lien Notes Cap Amount (Post-Deduction) / Outstanding Elevated Second Lien Notes Liabilities (subject to cap) (19)</t>
  </si>
  <si>
    <t>Elevated Second Lien Facility Cap Amount (Post-Deduction) / Outstanding Elevated Second Lien Liabilities (subject to cap)</t>
  </si>
  <si>
    <t>Total paid (in respect of First and Second Distributions) to:</t>
  </si>
  <si>
    <t>K&amp;E Fees and Outlays (2)</t>
  </si>
  <si>
    <t>(12) Distributions through the Clause 16.1(e) waterfall are not Special Contributions</t>
  </si>
  <si>
    <t>(15) See paragraph 1.5 of MB's letter of 5 June 2023</t>
  </si>
  <si>
    <t xml:space="preserve">  Notes (7)(8)</t>
  </si>
  <si>
    <t>(1) Assumed figure for illustrative purposes</t>
  </si>
  <si>
    <t>(2) Assumed figure for illustrative purposes</t>
  </si>
  <si>
    <r>
      <t xml:space="preserve">(5) Overpayments made to Second Lien Creditors are treated as notionally being clawed back for distribution as part of the Third Distribution, and those overpayment amounts are deducted from the payments to be made to the Second Lien Creditors (as described at paragraph 4.3 of MB's letter of </t>
    </r>
    <r>
      <rPr>
        <sz val="10"/>
        <rFont val="Arial"/>
        <family val="2"/>
      </rPr>
      <t xml:space="preserve">5 June </t>
    </r>
    <r>
      <rPr>
        <sz val="10"/>
        <color theme="1"/>
        <rFont val="Arial"/>
        <family val="2"/>
      </rPr>
      <t>2023)</t>
    </r>
  </si>
  <si>
    <t>(6) MB can provide the invoices to substantiate this claim</t>
  </si>
  <si>
    <t>(7) Assumed figure for illustrative purposes</t>
  </si>
  <si>
    <t>(8) Assumed figure for illustrative purposes</t>
  </si>
  <si>
    <t>(10) All pre-administration payments are Mitigation Contribution Payments and distributions through the Clause 16.1(e) waterfall are not Special Contributions</t>
  </si>
  <si>
    <t>(16) The DEPP Trustee has provided evidence to confirm that the deficit for the DEPP Pension Scheme is greater than £3m</t>
  </si>
  <si>
    <t>(18) Distributions through the Clause 16.1(e) waterfall are not Special Contributions</t>
  </si>
  <si>
    <t>(21) See paragraph 1.5 of MB's letter of 5 June 2023</t>
  </si>
  <si>
    <t>(23) Deduction of amounts of the First Distribution and Second Distribution which discharge Liabilities £ for £ per clause 16.1(e)</t>
  </si>
  <si>
    <t>(25) Deduction of amount of the First Distribution and Second Distribution which discharge Liabilities £ for £ per clause 16.1(e)</t>
  </si>
  <si>
    <t>GLAS retention amount (1)(2)</t>
  </si>
  <si>
    <t>Notional recovery of overpayments (5)</t>
  </si>
  <si>
    <t>MB Fees and Outlays (6)</t>
  </si>
  <si>
    <t>K&amp;E Fees and Outlays (7)(8)</t>
  </si>
  <si>
    <t>Elevated Pension Liabilities Cap Deductions applicable to DRS Pension Scheme, Pre-Administration (9)(10)</t>
  </si>
  <si>
    <t>Elevated Pension Liabilities Cap Deductions applicable to DRS Pension Scheme, Post-Administration (11)(12)</t>
  </si>
  <si>
    <t>Elevated Pensions DRS Liabilities Floor Amount Deductions (13)(14)</t>
  </si>
  <si>
    <t>Outstanding Elevated DRS Pension Liabilities (subject to cap) (15)</t>
  </si>
  <si>
    <t>Elevated Pensions DEPP Liability Cap Amount (Pre-Deduction) (16)</t>
  </si>
  <si>
    <t>Elevated Pensions DEPP Liabilities Floor Amount Deductions (19)(20)</t>
  </si>
  <si>
    <t>Outstanding Elevated DEPP Pension Liabilities (subject to cap) (21)</t>
  </si>
  <si>
    <t>Outstanding Elevated Second Lien Facility Liabilities (subject to cap) (23)</t>
  </si>
  <si>
    <t>Elevated Second Lien Facility Cap Amount Deductions (22)</t>
  </si>
  <si>
    <t>Outstanding Elevated Second Lien Notes Liabilities (subject to cap) (25)</t>
  </si>
  <si>
    <t xml:space="preserve">  RCF (26)</t>
  </si>
  <si>
    <t>Total overpayments</t>
  </si>
  <si>
    <t>Third Distribution</t>
  </si>
  <si>
    <t>Catch-up Payments</t>
  </si>
  <si>
    <t>(1) MB fees incurred on behalf of the Pension Trustees</t>
  </si>
  <si>
    <t>Amount held by Security Agent</t>
  </si>
  <si>
    <t xml:space="preserve">  Notes (27)</t>
  </si>
  <si>
    <t>(27) Total entitlement from the Third Distribution, subject to deduction for amounts that were previously overpaid to it (see Tab 3)</t>
  </si>
  <si>
    <t>(26) Total entitlement from the Third Distribution, subject to deduction for amounts that were previously overpaid to it (see Tab 3)</t>
  </si>
  <si>
    <t>Amounts Distributed</t>
  </si>
  <si>
    <t>(9) Based on Pension Trustees' figures of £7,500,000 of Agreed Drift Payments were made on or after 1 June 2019 (deducted at a 1.5x multiple, per the ICA definition of Elevated Pension Liabilties Cap Deductions).</t>
  </si>
  <si>
    <t xml:space="preserve">(14) Based on (i) £12,083,333.37 of Mitigation Contribution Payments paid on or after 1 June 2019; and (ii) £16,224,710.78 paid on or about 13 Oct (per the ICA definition of Elevated Pensions DRS Liabilities Floor). </t>
  </si>
  <si>
    <t>(17) Based on (i) £1,069,000.53 of Special Contribution in connection with the First Distribution and (ii) £71,345.49 of Special Contribution in connection with the Second Distribution (each deducted at a 2x multiple, per the ICA definition of Elevated Pension Liabilities Cap Deductions).</t>
  </si>
  <si>
    <t>(20) Cash payments of £1,069,000.53 and £71,345.49 made to the DEPP Trustee on 18 May 2023 which reduces the floor (per the ICA definition of Elevated Pension DEPP Liabilities Floor)</t>
  </si>
  <si>
    <t>(1) Per the ICA definition of Elevated Pensions DRS Liability Cap Amount</t>
  </si>
  <si>
    <t>(2) Per the ICA definition of Elevated Pensions DRS Liability Cap Amount</t>
  </si>
  <si>
    <t>Elevated Pension Liabilities Cap Deductions applicable to DRS Pension Scheme (3)(4)</t>
  </si>
  <si>
    <t>(4) All pre-administration payments are Mitigation Contribution Payments, which are not Elevated Pension Liabilities Cap Deductions</t>
  </si>
  <si>
    <t>Elevated Pensions DEPP Liability Cap Amount (5)</t>
  </si>
  <si>
    <t>(5) Per the ICA definition of Elevated Pensions DEPP Liability Cap Amount</t>
  </si>
  <si>
    <t>Elevated Second Lien Facility Cap Amount (6)</t>
  </si>
  <si>
    <t>(6) Per the ICA definition of Second Lien Facility Cap Amount</t>
  </si>
  <si>
    <t>Elevated Second Lien Notes Cap Amount (7)</t>
  </si>
  <si>
    <t xml:space="preserve">(7) Per the ICA definition of Second Lien Notes Cap Amount </t>
  </si>
  <si>
    <t>Elevated Pensions DRS Liability Cap Amount (Pre-Deduction) (3)</t>
  </si>
  <si>
    <t>(3) Per the ICA definition of Elevated Pensions DRS Liability Cap Amount</t>
  </si>
  <si>
    <t>Elevated Pension Liabilities Cap Deductions applicable to DRS Pension Scheme, Pre-Administration (4) (5)</t>
  </si>
  <si>
    <t>(5) All pre-administration payments are Mitigation Contribution Payments and distributions through the Clause 16.1(e) waterfall are not Special Contributions</t>
  </si>
  <si>
    <t>Elevated Pension Liabilities Cap Deductions applicable to DRS Pension Scheme, Post-Administration (6) (7)</t>
  </si>
  <si>
    <r>
      <t xml:space="preserve">(6) </t>
    </r>
    <r>
      <rPr>
        <sz val="10"/>
        <rFont val="Arial"/>
        <family val="2"/>
      </rPr>
      <t>Based on £16,516,058.23</t>
    </r>
    <r>
      <rPr>
        <sz val="10"/>
        <color theme="1"/>
        <rFont val="Arial"/>
        <family val="2"/>
      </rPr>
      <t xml:space="preserve"> of Special Contribution that was made in connection with the First Distribution (deducted at 2x multiple, per the definition of Elevated Pension Liabilities Cap Deductions). </t>
    </r>
  </si>
  <si>
    <t>(7) Distributions through the Clause 16.1(e) waterfall are not Special Contributions</t>
  </si>
  <si>
    <t>(8) Per the ICA definition of Elevated Pensions DRS Liabilities Floor Amount</t>
  </si>
  <si>
    <t>Elevated Pensions DRS Liabilities Floor Amount (Pre-Deduction) (8)</t>
  </si>
  <si>
    <t>Elevated Pensions DRS Liabilities Floor Amount Deductions (9) (10)</t>
  </si>
  <si>
    <t>Outstanding Elevated DRS Pension Liabilities (subject to cap) (11)</t>
  </si>
  <si>
    <t>Elevated Pensions DEPP Liability Cap Amount (Pre-Deduction) (12)</t>
  </si>
  <si>
    <t>(12) Per the ICA definition of Elevated Pensions DEPP Liability Cap Amount</t>
  </si>
  <si>
    <t>Elevated Pension Liabilities Cap Deductions applicable to DEPP Pension Scheme, Post-Administration(13)(14)</t>
  </si>
  <si>
    <t>(13) Based on £1,069,000.53 of Special Contribution that were due to have been made in connection with the First Distribution (deducted at a 2x multiple, per the definition of Elevated Pension Liabilities Cap Deductions).</t>
  </si>
  <si>
    <t>(14) Distributions through the Clause 16.1(e) waterfall are not Special Contributions</t>
  </si>
  <si>
    <t>(15) Per the ICA definition of Elevated Pensions DEPP Liabilities Floor Amount</t>
  </si>
  <si>
    <t>Elevated Pensions DEPP Liabilities Floor Amount (Pre-Deduction) (15)</t>
  </si>
  <si>
    <t>Elevated Pensions DEPP Liabilities Floor Amount Deductions(16)(17)</t>
  </si>
  <si>
    <t>(16) Based on £1,069,000.53 of Special Contribution that were due to have been made in connection with the First Distribution. This payment was made on 18 May 2023, after previously having been held back on the request of the Pension Trustee</t>
  </si>
  <si>
    <t>Outstanding Elevated DEPP Pension Liabilities (subject to cap) (18)</t>
  </si>
  <si>
    <t>(18) See paragraph 1.5 of MB's letter of 5 June 2023</t>
  </si>
  <si>
    <t>(19) Per the ICA definition of Second Lien Facility Cap Amount</t>
  </si>
  <si>
    <t>Elevated Second Lien Facility Cap Amount (Pre-Deduction) (19)</t>
  </si>
  <si>
    <t>Elevated Second Lien Notes Cap Amount Deductions (20)(21)</t>
  </si>
  <si>
    <t>(20) Based on principal amount paid on 27 Sep.</t>
  </si>
  <si>
    <t>(21) Deduction of amount of the First Distribution which discharges Liabilities £ for £ per clause 16.1(e)</t>
  </si>
  <si>
    <t xml:space="preserve">(22) Per the ICA definition of Second Lien Notes Cap Amount </t>
  </si>
  <si>
    <t>Elevated Second Lien Notes Cap Amount (Pre-Deduction) (22)</t>
  </si>
  <si>
    <t>Elevated Second Lien Notes Cap Amount Deductions(23)(24)</t>
  </si>
  <si>
    <t xml:space="preserve">(23) Based on principal amount paid on 8 Oct (per email from Lucid on 12 Nov 2021). </t>
  </si>
  <si>
    <t>(24) Deduction of amount of the First Distribution which discharges Liabilities £ for £ per clause 16.1(e)</t>
  </si>
  <si>
    <t xml:space="preserve">  DRS Pension (1)</t>
  </si>
  <si>
    <t xml:space="preserve">  DRS Pension Trustee (2)(3)</t>
  </si>
  <si>
    <t>(3) Underpayment, so catch-up payment required</t>
  </si>
  <si>
    <t xml:space="preserve">  DEPP Pension Trustee (4)(5)</t>
  </si>
  <si>
    <t>(4) No under or overpayments</t>
  </si>
  <si>
    <t>(5) Underpayment, so catch-up payment required</t>
  </si>
  <si>
    <t>(6) No under or overpayments</t>
  </si>
  <si>
    <t xml:space="preserve">  RCF (6)(7)</t>
  </si>
  <si>
    <t>(7) Overpayment, so reduced distributions required going forward</t>
  </si>
  <si>
    <t>(7) No under or overpayments</t>
  </si>
  <si>
    <t>(4) Catch-up Payments to the Pension Trustees in respect of underpayments (as calculated in Tab 3) are paid first</t>
  </si>
  <si>
    <t>Elevated Pension Liabilities Cap Deductions applicable to DEPP Pension Scheme, Post-Administration (17)(18)</t>
  </si>
  <si>
    <t xml:space="preserve">(19) Based on (i) £1,069,000.53 of Special Contribution that was made in connection with the First Distribution, and (ii) £71,345.49 of Special Contribution that was made in connection with the Second Distribution (per the ICA definition of Elevated Pensions DEPP Liabilities Floor). </t>
  </si>
  <si>
    <t>Received from Administrators</t>
  </si>
  <si>
    <t>Funds held by Agent for distribution</t>
  </si>
  <si>
    <t>Elevated Second Lien Notes Cap Amount Deductions (24)</t>
  </si>
  <si>
    <t>Purported Overpayment/Underpayment to:</t>
  </si>
  <si>
    <t xml:space="preserve">(13) Based on (i) £12,083,333.37 of of Pre-Adminstration Pension Payments; (ii) £16,516,058.23 of Special Contribution that was made in connection with the First Distribution, and (iii) £1,020,592.34 of Special Contribution that was made in connection with the Second Distribution, (per the ICA definition of Elevated Pensions DRS Liabilities Floor). </t>
  </si>
  <si>
    <t xml:space="preserve">(11) Based on (i)£16,516,058.23 of Special Contribution that was made in respect of First Retail ICA Distribution and (ii) £1,020,592.34 of Special Contribution made in respect of the Second Retail ICA Distribution (each deducted at 2x multiple, per the ICA definition of Elevated Pension Liabilities Cap Deductions). </t>
  </si>
  <si>
    <r>
      <t xml:space="preserve">(9) Based </t>
    </r>
    <r>
      <rPr>
        <sz val="10"/>
        <rFont val="Arial"/>
        <family val="2"/>
      </rPr>
      <t>on (i) 12,083,333.37</t>
    </r>
    <r>
      <rPr>
        <sz val="10"/>
        <color theme="1"/>
        <rFont val="Arial"/>
        <family val="2"/>
      </rPr>
      <t xml:space="preserve"> of Pre-Adminstration Pension Payments and (ii) £16,516,058.23 of Special Contribution that was made in connection with the First Distribution (per the definition of Elevated Pensions DRS Liabilities Floor). </t>
    </r>
  </si>
  <si>
    <t xml:space="preserve">(10) Based on (i) £12,083,333.37 of Mitigation Contribution Payments paid on or after 1 June 2019; and (ii) £16,224,710.78 paid on or about 13 Oct (per the definition of Elevated Pensions DRS Liabilities Floor). </t>
  </si>
  <si>
    <t>(11) See paragraph 1.5 of MB letter of 5 June 2023.</t>
  </si>
  <si>
    <t>(17) Based on £1,069,000.53 of Special Contribution that were due to have been made in connection with the First Distribution. This payment was made on 19 May 2023, after previously having been held back on the request of the DEPP Pension Trustee.</t>
  </si>
  <si>
    <t xml:space="preserve">Amount to be distributed: </t>
  </si>
  <si>
    <t xml:space="preserve">       Less overpayment</t>
  </si>
  <si>
    <t>Total payments (including deduction of overpayments)</t>
  </si>
  <si>
    <t>(3) £7,500,000 of Agreed Draft Payments were made on or after 1 June 2019 (deducted at a 1.5x multiple, per the definition of Elevated Pension Liabilties Cap Deductions)</t>
  </si>
  <si>
    <t>(4) £7,500,000 of Agreed Drift Payments were made on or after 1 June 2019 (deducted at a 1.5x multiple, per the definition of Elevated Pension Liabilties Cap Deductions).</t>
  </si>
  <si>
    <t xml:space="preserve">(2) K&amp;E fees </t>
  </si>
  <si>
    <t>(1) Subject to witholding of  £1,311,939.79 at request of Pension Trustee. It is assumed this payment will be made ahead of making the Third Distribution (see following tab).</t>
  </si>
  <si>
    <t>(2) No under or overpayments</t>
  </si>
  <si>
    <t>Amount held by Security Agent at request of Pension Trustee.</t>
  </si>
  <si>
    <t>Catch-up Payments (4)</t>
  </si>
  <si>
    <t>Holdback payments to DRS Trustee (3)</t>
  </si>
  <si>
    <t>(3) Witheld amount is paid first.</t>
  </si>
  <si>
    <t>(22) Based on repayment of principal of £1,875,098.50 in connection with the First Distribution, and (ii) repayment of principal of £5,389,223.88 in connection with the Second Distribution.</t>
  </si>
  <si>
    <t>(24) Based on repayment of principal of £34,552.94 in connection with the First Distribution on 8 October (per email from Lucid on 12 Nov 2021), and (ii) repayment of principal of £3,453,510.47 in connection with the Second Distribution.</t>
  </si>
  <si>
    <t>Draft 16 August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</si>
</sst>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quot;£&quot;* #,##0.00_);_(&quot;£&quot;* \(#,##0.00\);_(&quot;£&quot;* &quot;-&quot;??_);_(@_)"/>
    <numFmt numFmtId="165" formatCode="_(&quot;£&quot;* #,##0_);_(&quot;£&quot;* \(#,##0\);_(&quot;£&quot;* &quot;-&quot;_);_(@_)"/>
    <numFmt numFmtId="166" formatCode="_(* #,##0_);_(* \(#,##0\);_(* &quot;-&quot;_);_(@_)"/>
    <numFmt numFmtId="167" formatCode="_(* #,##0.00_);_(* \(#,##0.00\);_(* &quot;-&quot;??_);_(@_)"/>
    <numFmt numFmtId="168" formatCode="0.000%"/>
  </numFmts>
  <fonts count="7">
    <font>
      <sz val="10"/>
      <color theme="1"/>
      <name val="Arial"/>
      <family val="2"/>
    </font>
    <font>
      <sz val="10"/>
      <name val="Arial"/>
      <family val="2"/>
    </font>
    <font>
      <b/>
      <sz val="10"/>
      <color theme="1"/>
      <name val="Arial"/>
      <family val="2"/>
    </font>
    <font>
      <b/>
      <sz val="10"/>
      <color rgb="FFFF0000"/>
      <name val="Arial"/>
      <family val="2"/>
    </font>
    <font>
      <b/>
      <i/>
      <sz val="10"/>
      <color rgb="FFFF0000"/>
      <name val="Arial"/>
      <family val="2"/>
    </font>
    <font>
      <sz val="10"/>
      <color rgb="FFFF0000"/>
      <name val="Arial"/>
      <family val="2"/>
    </font>
    <font>
      <sz val="10"/>
      <color rgb="FF000000"/>
      <name val="Arial"/>
      <family val="2"/>
    </font>
  </fonts>
  <fills count="5">
    <fill>
      <patternFill/>
    </fill>
    <fill>
      <patternFill patternType="gray125"/>
    </fill>
    <fill>
      <patternFill patternType="solid">
        <fgColor theme="4"/>
        <bgColor indexed="64"/>
      </patternFill>
    </fill>
    <fill>
      <patternFill patternType="solid">
        <fgColor theme="0" tint="-0.149890005588531"/>
        <bgColor indexed="64"/>
      </patternFill>
    </fill>
    <fill>
      <patternFill patternType="solid">
        <fgColor theme="0" tint="-0.049880001693964"/>
        <bgColor indexed="64"/>
      </patternFill>
    </fill>
  </fills>
  <borders count="1">
    <border>
      <left/>
      <right/>
      <top/>
      <bottom/>
      <diagonal/>
    </border>
  </borders>
  <cellStyleXfs count="20">
    <xf numFmtId="0" fontId="0" fillId="0" borderId="0">
      <alignment/>
      <protection/>
    </xf>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9"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7" fontId="1" fillId="0" borderId="0" applyFont="0" applyFill="0" applyBorder="0" applyAlignment="0" applyProtection="0"/>
    <xf numFmtId="166" fontId="1" fillId="0" borderId="0" applyFont="0" applyFill="0" applyBorder="0" applyAlignment="0" applyProtection="0"/>
  </cellStyleXfs>
  <cellXfs count="59">
    <xf numFmtId="0" fontId="0" fillId="0" borderId="0" xfId="0"/>
    <xf numFmtId="0" fontId="2" fillId="0" borderId="0" xfId="0" applyFont="1"/>
    <xf numFmtId="4" fontId="0" fillId="0" borderId="0" xfId="0" applyNumberFormat="1"/>
    <xf numFmtId="4" fontId="2" fillId="0" borderId="0" xfId="0" applyNumberFormat="1" applyFont="1"/>
    <xf numFmtId="4" fontId="2" fillId="0" borderId="0" xfId="0" applyNumberFormat="1" applyFont="1" quotePrefix="1"/>
    <xf numFmtId="4" fontId="0" fillId="0" borderId="0" xfId="0" applyNumberFormat="1" applyFill="1"/>
    <xf numFmtId="0" fontId="0" fillId="0" borderId="0" xfId="0" applyFill="1"/>
    <xf numFmtId="4" fontId="0" fillId="0" borderId="0" xfId="0" applyNumberFormat="1" applyAlignment="1">
      <alignment vertical="top"/>
    </xf>
    <xf numFmtId="0" fontId="0" fillId="0" borderId="0" xfId="0" applyAlignment="1">
      <alignment vertical="top"/>
    </xf>
    <xf numFmtId="49" fontId="0" fillId="0" borderId="0" xfId="0" applyNumberFormat="1" applyAlignment="1">
      <alignment vertical="top" wrapText="1"/>
    </xf>
    <xf numFmtId="0" fontId="0" fillId="0" borderId="0" xfId="0" applyAlignment="1">
      <alignment wrapText="1"/>
    </xf>
    <xf numFmtId="0" fontId="2" fillId="0" borderId="0" xfId="0" applyFont="1" applyAlignment="1">
      <alignment vertical="top" wrapText="1"/>
    </xf>
    <xf numFmtId="0" fontId="0" fillId="0" borderId="0" xfId="0" applyAlignment="1">
      <alignment vertical="top" wrapText="1"/>
    </xf>
    <xf numFmtId="0" fontId="0" fillId="0" borderId="0" xfId="0" applyFill="1" applyAlignment="1">
      <alignment vertical="top" wrapText="1"/>
    </xf>
    <xf numFmtId="0" fontId="2" fillId="0" borderId="0" xfId="0" applyFont="1" applyAlignment="1">
      <alignment vertical="top"/>
    </xf>
    <xf numFmtId="4" fontId="0" fillId="0" borderId="0" xfId="0" applyNumberFormat="1" applyFill="1" applyAlignment="1">
      <alignment vertical="top"/>
    </xf>
    <xf numFmtId="0" fontId="3" fillId="0" borderId="0" xfId="0" applyFont="1" applyAlignment="1">
      <alignment vertical="top" wrapText="1"/>
    </xf>
    <xf numFmtId="0" fontId="1" fillId="0" borderId="0" xfId="0" applyFont="1" applyFill="1" applyAlignment="1">
      <alignment vertical="top" wrapText="1"/>
    </xf>
    <xf numFmtId="0" fontId="5" fillId="0" borderId="0" xfId="0" applyFont="1" applyFill="1" applyAlignment="1">
      <alignment vertical="top" wrapText="1"/>
    </xf>
    <xf numFmtId="164" fontId="0" fillId="0" borderId="0" xfId="16" applyFont="1" applyFill="1" applyAlignment="1">
      <alignment horizontal="left" vertical="top" wrapText="1"/>
    </xf>
    <xf numFmtId="0" fontId="0" fillId="0" borderId="0" xfId="0" applyFill="1" applyAlignment="1">
      <alignment vertical="top"/>
    </xf>
    <xf numFmtId="4" fontId="2" fillId="0" borderId="0" xfId="0" applyNumberFormat="1" applyFont="1" applyAlignment="1">
      <alignment horizontal="left" vertical="top" wrapText="1"/>
    </xf>
    <xf numFmtId="0" fontId="2" fillId="0" borderId="0" xfId="0" applyFont="1" applyAlignment="1" quotePrefix="1">
      <alignment vertical="top"/>
    </xf>
    <xf numFmtId="0" fontId="2" fillId="2" borderId="0" xfId="0" applyFont="1" applyFill="1"/>
    <xf numFmtId="0" fontId="0" fillId="2" borderId="0" xfId="0" applyFill="1"/>
    <xf numFmtId="0" fontId="2" fillId="2" borderId="0" xfId="0" applyFont="1" applyFill="1" applyAlignment="1">
      <alignment vertical="top" wrapText="1"/>
    </xf>
    <xf numFmtId="4" fontId="2" fillId="0" borderId="0" xfId="0" applyNumberFormat="1" applyFont="1" applyAlignment="1">
      <alignment vertical="top" wrapText="1"/>
    </xf>
    <xf numFmtId="0" fontId="2" fillId="2" borderId="0" xfId="0" applyFont="1" applyFill="1" applyAlignment="1">
      <alignment vertical="top"/>
    </xf>
    <xf numFmtId="0" fontId="0" fillId="2" borderId="0" xfId="0" applyFill="1" applyAlignment="1">
      <alignment vertical="top"/>
    </xf>
    <xf numFmtId="0" fontId="0" fillId="3" borderId="0" xfId="0" applyFill="1" applyAlignment="1">
      <alignment vertical="top"/>
    </xf>
    <xf numFmtId="0" fontId="3" fillId="0" borderId="0" xfId="0" applyFont="1" applyAlignment="1">
      <alignment vertical="top"/>
    </xf>
    <xf numFmtId="4" fontId="0" fillId="0" borderId="0" xfId="0" applyNumberFormat="1" applyAlignment="1">
      <alignment vertical="top" wrapText="1"/>
    </xf>
    <xf numFmtId="4" fontId="2" fillId="0" borderId="0" xfId="0" applyNumberFormat="1" applyFont="1" applyAlignment="1" quotePrefix="1">
      <alignment vertical="top" wrapText="1"/>
    </xf>
    <xf numFmtId="4" fontId="2" fillId="0" borderId="0" xfId="0" applyNumberFormat="1" applyFont="1" applyAlignment="1" quotePrefix="1">
      <alignment vertical="top"/>
    </xf>
    <xf numFmtId="0" fontId="0" fillId="0" borderId="0" xfId="0" applyAlignment="1">
      <alignment horizontal="left" vertical="top" wrapText="1"/>
    </xf>
    <xf numFmtId="0" fontId="2" fillId="0" borderId="0" xfId="0" applyFont="1" applyAlignment="1">
      <alignment horizontal="left" vertical="top" wrapText="1"/>
    </xf>
    <xf numFmtId="4" fontId="0" fillId="0" borderId="0" xfId="0" applyNumberFormat="1" applyAlignment="1">
      <alignment horizontal="left" vertical="top" wrapText="1"/>
    </xf>
    <xf numFmtId="4" fontId="2" fillId="0" borderId="0" xfId="0" applyNumberFormat="1" applyFont="1" applyAlignment="1" quotePrefix="1">
      <alignment horizontal="left" vertical="top" wrapText="1"/>
    </xf>
    <xf numFmtId="0" fontId="0" fillId="0" borderId="0" xfId="0" applyFill="1" applyAlignment="1">
      <alignment wrapText="1"/>
    </xf>
    <xf numFmtId="0" fontId="0" fillId="2" borderId="0" xfId="0" applyFill="1" applyAlignment="1">
      <alignment vertical="top" wrapText="1"/>
    </xf>
    <xf numFmtId="0" fontId="2" fillId="0" borderId="0" xfId="0" applyFont="1" applyFill="1" applyAlignment="1">
      <alignment vertical="top" wrapText="1"/>
    </xf>
    <xf numFmtId="0" fontId="0" fillId="4" borderId="0" xfId="0" applyFill="1" applyAlignment="1">
      <alignment vertical="top" wrapText="1"/>
    </xf>
    <xf numFmtId="4" fontId="0" fillId="0" borderId="0" xfId="0" applyNumberFormat="1" applyFill="1" applyAlignment="1">
      <alignment vertical="top" wrapText="1"/>
    </xf>
    <xf numFmtId="0" fontId="4" fillId="0" borderId="0" xfId="0" applyFont="1" applyAlignment="1">
      <alignment horizontal="left" vertical="top" wrapText="1"/>
    </xf>
    <xf numFmtId="3" fontId="2" fillId="0" borderId="0" xfId="0" applyNumberFormat="1" applyFont="1" applyAlignment="1" quotePrefix="1">
      <alignment horizontal="left" vertical="top" wrapText="1"/>
    </xf>
    <xf numFmtId="0" fontId="2" fillId="0" borderId="0" xfId="0" applyFont="1" applyAlignment="1" quotePrefix="1">
      <alignment vertical="top" wrapText="1"/>
    </xf>
    <xf numFmtId="164" fontId="0" fillId="0" borderId="0" xfId="0" applyNumberFormat="1" applyAlignment="1">
      <alignment vertical="top" wrapText="1"/>
    </xf>
    <xf numFmtId="164" fontId="0" fillId="0" borderId="0" xfId="16" applyFont="1" applyAlignment="1">
      <alignment vertical="top" wrapText="1"/>
    </xf>
    <xf numFmtId="4" fontId="2" fillId="0" borderId="0" xfId="0" applyNumberFormat="1" applyFont="1" applyFill="1" applyAlignment="1">
      <alignment vertical="top" wrapText="1"/>
    </xf>
    <xf numFmtId="4" fontId="0" fillId="0" borderId="0" xfId="0" applyNumberFormat="1" applyFill="1" applyAlignment="1" quotePrefix="1">
      <alignment vertical="top" wrapText="1"/>
    </xf>
    <xf numFmtId="4" fontId="6" fillId="0" borderId="0" xfId="0" applyNumberFormat="1" applyFont="1" applyAlignment="1">
      <alignment vertical="center"/>
    </xf>
    <xf numFmtId="9" fontId="2" fillId="0" borderId="0" xfId="0" applyNumberFormat="1" applyFont="1" applyAlignment="1">
      <alignment vertical="top" wrapText="1"/>
    </xf>
    <xf numFmtId="168" fontId="2" fillId="0" borderId="0" xfId="15" applyNumberFormat="1" applyFont="1" applyAlignment="1" quotePrefix="1">
      <alignment vertical="top" wrapText="1"/>
    </xf>
    <xf numFmtId="0" fontId="2" fillId="0" borderId="0" xfId="0" applyFont="1" applyFill="1" applyAlignment="1">
      <alignment vertical="top"/>
    </xf>
    <xf numFmtId="4" fontId="2" fillId="0" borderId="0" xfId="0" applyNumberFormat="1" applyFont="1" applyFill="1" applyAlignment="1">
      <alignment horizontal="left" vertical="top" wrapText="1"/>
    </xf>
    <xf numFmtId="4" fontId="0" fillId="0" borderId="0" xfId="0" applyNumberFormat="1" applyFont="1" applyAlignment="1">
      <alignment vertical="top" wrapText="1"/>
    </xf>
    <xf numFmtId="9" fontId="0" fillId="0" borderId="0" xfId="15" applyFont="1" applyFill="1"/>
    <xf numFmtId="0" fontId="1" fillId="0" borderId="0" xfId="0" applyFont="1" applyAlignment="1">
      <alignment vertical="top" wrapText="1"/>
    </xf>
    <xf numFmtId="0" fontId="4" fillId="2" borderId="0" xfId="0" applyFont="1" applyFill="1" applyAlignment="1">
      <alignment horizontal="right" vertical="top" wrapText="1"/>
    </xf>
  </cellXfs>
  <cellStyles count="6">
    <cellStyle name="Normal" xfId="0"/>
    <cellStyle name="Percent" xfId="15"/>
    <cellStyle name="Currency" xfId="16"/>
    <cellStyle name="Currency [0]" xfId="17"/>
    <cellStyle name="Comma" xfId="18"/>
    <cellStyle name="Comma [0]" xfId="19"/>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 standalone="yes"?><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 standalone="yes"?><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 standalone="yes"?><Relationships xmlns="http://schemas.openxmlformats.org/package/2006/relationships"><Relationship Id="rId1" Type="http://schemas.openxmlformats.org/officeDocument/2006/relationships/printerSettings" Target="../printerSettings/printerSettings4.bin"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58"/>
  <sheetViews>
    <sheetView zoomScale="85" zoomScaleNormal="85" workbookViewId="0" topLeftCell="B1">
      <pane ySplit="1" topLeftCell="A2" activePane="bottomLeft" state="frozen"/>
      <selection pane="topLeft" activeCell="B1" sqref="B1"/>
      <selection pane="bottomLeft" activeCell="J10" sqref="J10"/>
    </sheetView>
  </sheetViews>
  <sheetFormatPr defaultColWidth="9.1796875" defaultRowHeight="12.75"/>
  <cols>
    <col min="1" max="1" width="36.8571428571429" style="8" customWidth="1"/>
    <col min="2" max="2" width="16.2857142857143" style="8" customWidth="1"/>
    <col min="3" max="3" width="6.71428571428571" style="8" customWidth="1"/>
    <col min="4" max="4" width="38.1428571428571" style="8" customWidth="1"/>
    <col min="5" max="5" width="7.42857142857143" style="8" customWidth="1"/>
    <col min="6" max="6" width="15.1428571428571" style="8" customWidth="1"/>
    <col min="7" max="7" width="9.14285714285714" style="8"/>
    <col min="8" max="8" width="35.8571428571429" style="8" customWidth="1"/>
    <col min="9" max="9" width="15.8571428571429" style="8" customWidth="1"/>
    <col min="10" max="10" width="9.14285714285714" style="8"/>
    <col min="11" max="11" width="47" style="8" customWidth="1"/>
    <col min="12" max="16384" width="9.14285714285714" style="8"/>
  </cols>
  <sheetData>
    <row r="1" spans="1:8" ht="35.25" customHeight="1">
      <c r="A1" s="27" t="s">
        <v>29</v>
      </c>
      <c r="B1" s="27" t="s">
        <v>39</v>
      </c>
      <c r="C1" s="28"/>
      <c r="D1" s="28"/>
      <c r="E1" s="28"/>
      <c r="F1" s="27" t="s">
        <v>38</v>
      </c>
      <c r="G1" s="28"/>
      <c r="H1" s="58" t="s">
        <v>170</v>
      </c>
    </row>
    <row r="2" ht="12.5">
      <c r="E2" s="29"/>
    </row>
    <row r="3" spans="1:8" ht="13">
      <c r="A3" s="12"/>
      <c r="B3" s="14" t="s">
        <v>1</v>
      </c>
      <c r="E3" s="29"/>
      <c r="F3" s="14" t="s">
        <v>1</v>
      </c>
      <c r="H3" s="30"/>
    </row>
    <row r="4" spans="1:6" ht="13">
      <c r="A4" s="11" t="s">
        <v>0</v>
      </c>
      <c r="B4" s="7">
        <v>60000000</v>
      </c>
      <c r="C4" s="7"/>
      <c r="E4" s="29"/>
      <c r="F4" s="7">
        <v>60000000</v>
      </c>
    </row>
    <row r="5" spans="1:6" ht="12.5">
      <c r="A5" s="31"/>
      <c r="B5" s="7"/>
      <c r="E5" s="29"/>
      <c r="F5" s="7"/>
    </row>
    <row r="6" spans="1:6" ht="13">
      <c r="A6" s="11" t="s">
        <v>31</v>
      </c>
      <c r="B6" s="7">
        <v>617020.42000000004</v>
      </c>
      <c r="E6" s="29"/>
      <c r="F6" s="7">
        <v>617020.42000000004</v>
      </c>
    </row>
    <row r="7" spans="1:5" ht="12.5">
      <c r="A7" s="12"/>
      <c r="E7" s="29"/>
    </row>
    <row r="8" spans="1:6" ht="26">
      <c r="A8" s="11" t="s">
        <v>8</v>
      </c>
      <c r="B8" s="7">
        <f>B4-B6</f>
        <v>59382979.579999998</v>
      </c>
      <c r="E8" s="29"/>
      <c r="F8" s="7">
        <f>F4-F6</f>
        <v>59382979.579999998</v>
      </c>
    </row>
    <row r="9" spans="1:5" ht="13">
      <c r="A9" s="43" t="s">
        <v>14</v>
      </c>
      <c r="E9" s="29"/>
    </row>
    <row r="10" spans="1:8" ht="26">
      <c r="A10" s="26" t="s">
        <v>2</v>
      </c>
      <c r="B10" s="7">
        <v>57600000</v>
      </c>
      <c r="D10" s="12" t="s">
        <v>91</v>
      </c>
      <c r="E10" s="29"/>
      <c r="F10" s="7">
        <v>57600000</v>
      </c>
      <c r="H10" s="12" t="s">
        <v>92</v>
      </c>
    </row>
    <row r="11" spans="1:6" ht="12.5">
      <c r="A11" s="31"/>
      <c r="E11" s="29"/>
      <c r="F11" s="7"/>
    </row>
    <row r="12" spans="1:8" ht="62.5">
      <c r="A12" s="26" t="s">
        <v>93</v>
      </c>
      <c r="B12" s="15">
        <f>1.5*7500000</f>
        <v>11250000</v>
      </c>
      <c r="D12" s="9" t="s">
        <v>159</v>
      </c>
      <c r="E12" s="29"/>
      <c r="F12" s="15">
        <v>0</v>
      </c>
      <c r="H12" s="9" t="s">
        <v>94</v>
      </c>
    </row>
    <row r="13" spans="1:6" ht="12.5">
      <c r="A13" s="31"/>
      <c r="E13" s="29"/>
      <c r="F13" s="7"/>
    </row>
    <row r="14" spans="1:6" ht="26">
      <c r="A14" s="26" t="s">
        <v>3</v>
      </c>
      <c r="B14" s="7">
        <f>B10-B12</f>
        <v>46350000</v>
      </c>
      <c r="E14" s="29"/>
      <c r="F14" s="7">
        <f>F10-F12</f>
        <v>57600000</v>
      </c>
    </row>
    <row r="15" spans="1:6" ht="13">
      <c r="A15" s="43" t="s">
        <v>18</v>
      </c>
      <c r="E15" s="29"/>
      <c r="F15" s="7"/>
    </row>
    <row r="16" spans="1:8" ht="26">
      <c r="A16" s="26" t="s">
        <v>95</v>
      </c>
      <c r="B16" s="7">
        <v>3000000</v>
      </c>
      <c r="D16" s="12" t="s">
        <v>96</v>
      </c>
      <c r="E16" s="29"/>
      <c r="F16" s="7">
        <v>3000000</v>
      </c>
      <c r="H16" s="12" t="s">
        <v>96</v>
      </c>
    </row>
    <row r="17" spans="1:6" ht="13">
      <c r="A17" s="43" t="s">
        <v>21</v>
      </c>
      <c r="E17" s="29"/>
      <c r="F17" s="7"/>
    </row>
    <row r="18" spans="1:8" ht="26">
      <c r="A18" s="11" t="s">
        <v>97</v>
      </c>
      <c r="B18" s="7">
        <v>72200000</v>
      </c>
      <c r="D18" s="12" t="s">
        <v>98</v>
      </c>
      <c r="E18" s="29"/>
      <c r="F18" s="7">
        <v>72200000</v>
      </c>
      <c r="H18" s="12" t="s">
        <v>98</v>
      </c>
    </row>
    <row r="19" spans="1:6" ht="13">
      <c r="A19" s="43" t="s">
        <v>23</v>
      </c>
      <c r="E19" s="29"/>
      <c r="F19" s="7"/>
    </row>
    <row r="20" spans="1:8" ht="27.65" customHeight="1">
      <c r="A20" s="11" t="s">
        <v>99</v>
      </c>
      <c r="B20" s="7">
        <v>45100000</v>
      </c>
      <c r="D20" s="12" t="s">
        <v>100</v>
      </c>
      <c r="E20" s="29"/>
      <c r="F20" s="7">
        <v>45100000</v>
      </c>
      <c r="H20" s="12" t="s">
        <v>100</v>
      </c>
    </row>
    <row r="21" spans="1:6" ht="13">
      <c r="A21" s="43" t="s">
        <v>86</v>
      </c>
      <c r="E21" s="29"/>
      <c r="F21" s="7"/>
    </row>
    <row r="22" spans="1:6" ht="26">
      <c r="A22" s="26" t="s">
        <v>4</v>
      </c>
      <c r="B22" s="7">
        <f>SUM(B14:B20)</f>
        <v>166650000</v>
      </c>
      <c r="E22" s="29"/>
      <c r="F22" s="7">
        <f>SUM(F14:F20)</f>
        <v>177900000</v>
      </c>
    </row>
    <row r="23" spans="1:6" ht="12.5">
      <c r="A23" s="31"/>
      <c r="E23" s="29"/>
      <c r="F23" s="7"/>
    </row>
    <row r="24" spans="1:6" ht="13">
      <c r="A24" s="26" t="s">
        <v>9</v>
      </c>
      <c r="B24" s="20"/>
      <c r="E24" s="29"/>
      <c r="F24" s="15"/>
    </row>
    <row r="25" spans="1:6" ht="13">
      <c r="A25" s="26"/>
      <c r="B25" s="20"/>
      <c r="E25" s="29"/>
      <c r="F25" s="15"/>
    </row>
    <row r="26" spans="1:6" ht="13">
      <c r="A26" s="32" t="s">
        <v>32</v>
      </c>
      <c r="B26" s="15">
        <f>B14/B22*B8</f>
        <v>16516058.227020701</v>
      </c>
      <c r="E26" s="29"/>
      <c r="F26" s="15">
        <f>F14/F22*F8</f>
        <v>19226866.912917368</v>
      </c>
    </row>
    <row r="27" spans="1:6" ht="13">
      <c r="A27" s="26"/>
      <c r="B27" s="15"/>
      <c r="E27" s="29"/>
      <c r="F27" s="15"/>
    </row>
    <row r="28" spans="1:6" ht="13">
      <c r="A28" s="32" t="s">
        <v>33</v>
      </c>
      <c r="B28" s="15">
        <f>B16/B22*B8</f>
        <v>1069000.5324932493</v>
      </c>
      <c r="E28" s="29"/>
      <c r="F28" s="15">
        <f>F16/F22*F8</f>
        <v>1001399.3183811129</v>
      </c>
    </row>
    <row r="29" spans="1:6" ht="13">
      <c r="A29" s="26"/>
      <c r="B29" s="15"/>
      <c r="E29" s="29"/>
      <c r="F29" s="15"/>
    </row>
    <row r="30" spans="1:6" ht="13">
      <c r="A30" s="32" t="s">
        <v>5</v>
      </c>
      <c r="B30" s="15">
        <f>B18/B22*B8</f>
        <v>25727279.482004199</v>
      </c>
      <c r="E30" s="29"/>
      <c r="F30" s="15">
        <f>F18/F22*F8</f>
        <v>24100343.59570545</v>
      </c>
    </row>
    <row r="31" spans="1:6" ht="13">
      <c r="A31" s="26"/>
      <c r="B31" s="20"/>
      <c r="E31" s="29"/>
      <c r="F31" s="15"/>
    </row>
    <row r="32" spans="1:6" ht="13">
      <c r="A32" s="33" t="s">
        <v>6</v>
      </c>
      <c r="B32" s="15">
        <f>B20/B22*B8</f>
        <v>16070641.338481847</v>
      </c>
      <c r="E32" s="29"/>
      <c r="F32" s="15">
        <f>F20/F22*F8</f>
        <v>15054369.752996065</v>
      </c>
    </row>
    <row r="33" spans="1:6" ht="12.5">
      <c r="A33" s="7"/>
      <c r="B33" s="15"/>
      <c r="C33" s="7"/>
      <c r="D33" s="7"/>
      <c r="E33" s="7"/>
      <c r="F33" s="15"/>
    </row>
    <row r="34" spans="1:6" ht="13">
      <c r="A34" s="14"/>
      <c r="B34" s="53"/>
      <c r="C34" s="14"/>
      <c r="D34" s="14"/>
      <c r="E34" s="14"/>
      <c r="F34" s="20"/>
    </row>
    <row r="35" ht="12.5">
      <c r="F35" s="20"/>
    </row>
    <row r="36" spans="1:6" ht="13">
      <c r="A36" s="22"/>
      <c r="B36" s="22"/>
      <c r="C36" s="22"/>
      <c r="D36" s="22"/>
      <c r="E36" s="22"/>
      <c r="F36" s="7"/>
    </row>
    <row r="38" spans="1:6" ht="13">
      <c r="A38" s="22"/>
      <c r="B38" s="22"/>
      <c r="C38" s="22"/>
      <c r="D38" s="22"/>
      <c r="E38" s="22"/>
      <c r="F38" s="7"/>
    </row>
    <row r="58" ht="12.5">
      <c r="F58" s="7"/>
    </row>
  </sheetData>
  <pageMargins left="0.7" right="0.7" top="0.75" bottom="0.75" header="0.3" footer="0.3"/>
  <pageSetup orientation="landscape" scale="1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F79"/>
  <sheetViews>
    <sheetView zoomScale="65" zoomScaleNormal="65" workbookViewId="0" topLeftCell="A1">
      <pane ySplit="1" topLeftCell="A38" activePane="bottomLeft" state="frozen"/>
      <selection pane="topLeft" activeCell="A1" sqref="A1"/>
      <selection pane="bottomLeft" activeCell="H1" sqref="H1"/>
    </sheetView>
  </sheetViews>
  <sheetFormatPr defaultColWidth="42.54296875" defaultRowHeight="12.75"/>
  <cols>
    <col min="1" max="1" width="42.5714285714286" style="12"/>
    <col min="2" max="2" width="16.4285714285714" style="12" customWidth="1"/>
    <col min="3" max="3" width="3.42857142857143" style="12" customWidth="1"/>
    <col min="4" max="4" width="27.5714285714286" style="12" customWidth="1"/>
    <col min="5" max="5" width="7.14285714285714" style="12" customWidth="1"/>
    <col min="6" max="6" width="24.8571428571429" style="12" customWidth="1"/>
    <col min="7" max="7" width="3.42857142857143" style="12" customWidth="1"/>
    <col min="8" max="8" width="32.5714285714286" style="12" customWidth="1"/>
    <col min="9" max="16384" width="42.5714285714286" style="12"/>
  </cols>
  <sheetData>
    <row r="1" spans="1:8" ht="37" customHeight="1">
      <c r="A1" s="25" t="s">
        <v>30</v>
      </c>
      <c r="B1" s="27" t="s">
        <v>39</v>
      </c>
      <c r="C1" s="39"/>
      <c r="D1" s="39"/>
      <c r="E1" s="25"/>
      <c r="F1" s="25" t="s">
        <v>38</v>
      </c>
      <c r="G1" s="39"/>
      <c r="H1" s="58" t="s">
        <v>170</v>
      </c>
    </row>
    <row r="2" spans="5:6" ht="13">
      <c r="E2" s="41"/>
      <c r="F2" s="40"/>
    </row>
    <row r="3" spans="2:8" ht="13">
      <c r="B3" s="11" t="s">
        <v>1</v>
      </c>
      <c r="E3" s="41"/>
      <c r="F3" s="11" t="s">
        <v>1</v>
      </c>
      <c r="H3" s="16"/>
    </row>
    <row r="4" spans="1:6" ht="13">
      <c r="A4" s="11" t="s">
        <v>0</v>
      </c>
      <c r="B4" s="31">
        <v>10000000</v>
      </c>
      <c r="E4" s="41"/>
      <c r="F4" s="31">
        <v>10000000</v>
      </c>
    </row>
    <row r="5" spans="1:6" ht="12.5">
      <c r="A5" s="31"/>
      <c r="B5" s="31"/>
      <c r="E5" s="41"/>
      <c r="F5" s="31"/>
    </row>
    <row r="6" spans="1:8" ht="25">
      <c r="A6" s="11" t="s">
        <v>35</v>
      </c>
      <c r="B6" s="31">
        <f>16218.5*2</f>
        <v>32437</v>
      </c>
      <c r="D6" s="12" t="s">
        <v>81</v>
      </c>
      <c r="E6" s="41"/>
      <c r="F6" s="31">
        <f>16218.5*2</f>
        <v>32437</v>
      </c>
      <c r="H6" s="12" t="s">
        <v>81</v>
      </c>
    </row>
    <row r="7" ht="12.5">
      <c r="E7" s="41"/>
    </row>
    <row r="8" spans="1:8" ht="50">
      <c r="A8" s="11" t="s">
        <v>47</v>
      </c>
      <c r="B8" s="42">
        <f>19573.82+13317</f>
        <v>32890.82</v>
      </c>
      <c r="D8" s="12" t="s">
        <v>161</v>
      </c>
      <c r="E8" s="41"/>
      <c r="F8" s="31">
        <f>19573.82+13317</f>
        <v>32890.82</v>
      </c>
      <c r="H8" s="12" t="s">
        <v>36</v>
      </c>
    </row>
    <row r="9" ht="12.5">
      <c r="E9" s="41"/>
    </row>
    <row r="10" spans="1:6" ht="26">
      <c r="A10" s="11" t="s">
        <v>13</v>
      </c>
      <c r="B10" s="31">
        <f>B4-B6-B8</f>
        <v>9934672.1799999997</v>
      </c>
      <c r="E10" s="41"/>
      <c r="F10" s="31">
        <f>F4-F6-F8</f>
        <v>9934672.1799999997</v>
      </c>
    </row>
    <row r="11" ht="12.5">
      <c r="E11" s="41"/>
    </row>
    <row r="12" spans="1:5" ht="13">
      <c r="A12" s="43" t="s">
        <v>14</v>
      </c>
      <c r="E12" s="41"/>
    </row>
    <row r="13" ht="12.5">
      <c r="E13" s="41"/>
    </row>
    <row r="14" spans="1:8" ht="37.5">
      <c r="A14" s="21" t="s">
        <v>101</v>
      </c>
      <c r="B14" s="31">
        <v>57600000</v>
      </c>
      <c r="D14" s="12" t="s">
        <v>102</v>
      </c>
      <c r="E14" s="41"/>
      <c r="F14" s="31">
        <v>57600000</v>
      </c>
      <c r="H14" s="12" t="s">
        <v>102</v>
      </c>
    </row>
    <row r="15" spans="1:6" ht="12.5">
      <c r="A15" s="36"/>
      <c r="B15" s="31"/>
      <c r="E15" s="41"/>
      <c r="F15" s="31"/>
    </row>
    <row r="16" spans="1:8" ht="75">
      <c r="A16" s="21" t="s">
        <v>103</v>
      </c>
      <c r="B16" s="42">
        <f>1.5*7500000</f>
        <v>11250000</v>
      </c>
      <c r="D16" s="9" t="s">
        <v>160</v>
      </c>
      <c r="E16" s="41"/>
      <c r="F16" s="42">
        <v>0</v>
      </c>
      <c r="H16" s="9" t="s">
        <v>104</v>
      </c>
    </row>
    <row r="17" spans="1:6" ht="12.5">
      <c r="A17" s="36"/>
      <c r="B17" s="31"/>
      <c r="E17" s="41"/>
      <c r="F17" s="31"/>
    </row>
    <row r="18" spans="1:8" ht="87.5">
      <c r="A18" s="21" t="s">
        <v>105</v>
      </c>
      <c r="B18" s="42">
        <f>16516058.23*2</f>
        <v>33032116.460000001</v>
      </c>
      <c r="D18" s="12" t="s">
        <v>106</v>
      </c>
      <c r="E18" s="41"/>
      <c r="F18" s="42">
        <v>0</v>
      </c>
      <c r="H18" s="9" t="s">
        <v>107</v>
      </c>
    </row>
    <row r="19" spans="1:5" ht="12.5">
      <c r="A19" s="36"/>
      <c r="B19" s="31"/>
      <c r="E19" s="41"/>
    </row>
    <row r="20" spans="1:6" ht="26">
      <c r="A20" s="21" t="s">
        <v>3</v>
      </c>
      <c r="B20" s="42">
        <f>B14-B16-B18</f>
        <v>13317883.539999999</v>
      </c>
      <c r="D20" s="9"/>
      <c r="E20" s="41"/>
      <c r="F20" s="42">
        <f>F14-F16-F18</f>
        <v>57600000</v>
      </c>
    </row>
    <row r="21" spans="1:6" ht="12.5">
      <c r="A21" s="34"/>
      <c r="B21" s="31"/>
      <c r="E21" s="41"/>
      <c r="F21" s="31"/>
    </row>
    <row r="22" spans="1:8" ht="37.5">
      <c r="A22" s="35" t="s">
        <v>109</v>
      </c>
      <c r="B22" s="31">
        <v>38000000</v>
      </c>
      <c r="D22" s="12" t="s">
        <v>108</v>
      </c>
      <c r="E22" s="41"/>
      <c r="F22" s="31">
        <v>38000000</v>
      </c>
      <c r="H22" s="12" t="s">
        <v>108</v>
      </c>
    </row>
    <row r="23" spans="1:6" ht="12.5">
      <c r="A23" s="34"/>
      <c r="B23" s="31"/>
      <c r="E23" s="41"/>
      <c r="F23" s="31"/>
    </row>
    <row r="24" spans="1:8" ht="112.5">
      <c r="A24" s="35" t="s">
        <v>110</v>
      </c>
      <c r="B24" s="42">
        <f>12083333.37+16516058.23</f>
        <v>28599391.600000001</v>
      </c>
      <c r="D24" s="12" t="s">
        <v>152</v>
      </c>
      <c r="E24" s="41"/>
      <c r="F24" s="42">
        <v>28308044.149999999</v>
      </c>
      <c r="H24" s="12" t="s">
        <v>153</v>
      </c>
    </row>
    <row r="25" spans="1:5" ht="12.5">
      <c r="A25" s="34"/>
      <c r="B25" s="31"/>
      <c r="E25" s="41"/>
    </row>
    <row r="26" spans="1:6" ht="26">
      <c r="A26" s="21" t="s">
        <v>16</v>
      </c>
      <c r="B26" s="42">
        <f>B22-B24</f>
        <v>9400608.3999999985</v>
      </c>
      <c r="E26" s="41"/>
      <c r="F26" s="42">
        <f>F22-F24</f>
        <v>9691955.8500000015</v>
      </c>
    </row>
    <row r="27" spans="1:5" ht="12.5">
      <c r="A27" s="36"/>
      <c r="E27" s="41"/>
    </row>
    <row r="28" spans="2:6" ht="91">
      <c r="B28" s="21" t="s">
        <v>17</v>
      </c>
      <c r="E28" s="41"/>
      <c r="F28" s="21" t="s">
        <v>17</v>
      </c>
    </row>
    <row r="29" spans="1:5" ht="13">
      <c r="A29" s="26"/>
      <c r="E29" s="41"/>
    </row>
    <row r="30" spans="1:23" ht="26">
      <c r="A30" s="21" t="s">
        <v>111</v>
      </c>
      <c r="B30" s="42">
        <f>B20</f>
        <v>13317883.539999999</v>
      </c>
      <c r="C30" s="13"/>
      <c r="D30" s="13"/>
      <c r="E30" s="41"/>
      <c r="F30" s="42">
        <f>F20-'1 - First Distribution '!F26</f>
        <v>38373133.087082632</v>
      </c>
      <c r="H30" s="13" t="s">
        <v>154</v>
      </c>
      <c r="R30" s="13"/>
      <c r="S30" s="13"/>
      <c r="T30" s="13"/>
      <c r="U30" s="13"/>
      <c r="V30" s="13"/>
      <c r="W30" s="13"/>
    </row>
    <row r="31" spans="1:5" ht="13">
      <c r="A31" s="26"/>
      <c r="E31" s="41"/>
    </row>
    <row r="32" spans="1:5" ht="13">
      <c r="A32" s="43" t="s">
        <v>18</v>
      </c>
      <c r="E32" s="41"/>
    </row>
    <row r="33" spans="1:5" ht="13">
      <c r="A33" s="26"/>
      <c r="E33" s="41"/>
    </row>
    <row r="34" spans="1:8" ht="37.5">
      <c r="A34" s="21" t="s">
        <v>112</v>
      </c>
      <c r="B34" s="31">
        <v>3000000</v>
      </c>
      <c r="D34" s="12" t="s">
        <v>113</v>
      </c>
      <c r="E34" s="41"/>
      <c r="F34" s="31">
        <v>3000000</v>
      </c>
      <c r="H34" s="12" t="s">
        <v>113</v>
      </c>
    </row>
    <row r="35" spans="1:6" ht="13">
      <c r="A35" s="26"/>
      <c r="B35" s="31"/>
      <c r="E35" s="41"/>
      <c r="F35" s="31"/>
    </row>
    <row r="36" spans="1:8" ht="100">
      <c r="A36" s="21" t="s">
        <v>114</v>
      </c>
      <c r="B36" s="42">
        <f>1069000.53*2</f>
        <v>2138001.06</v>
      </c>
      <c r="D36" s="12" t="s">
        <v>115</v>
      </c>
      <c r="E36" s="41"/>
      <c r="F36" s="42">
        <v>0</v>
      </c>
      <c r="H36" s="9" t="s">
        <v>116</v>
      </c>
    </row>
    <row r="37" spans="1:6" ht="12.5">
      <c r="A37" s="31"/>
      <c r="B37" s="31"/>
      <c r="E37" s="41"/>
      <c r="F37" s="31"/>
    </row>
    <row r="38" spans="1:6" ht="26">
      <c r="A38" s="21" t="s">
        <v>19</v>
      </c>
      <c r="B38" s="31">
        <f>B34-B36</f>
        <v>861998.94</v>
      </c>
      <c r="E38" s="41"/>
      <c r="F38" s="31">
        <f>F34-F36</f>
        <v>3000000</v>
      </c>
    </row>
    <row r="39" spans="5:6" ht="12.5">
      <c r="E39" s="41"/>
      <c r="F39" s="31"/>
    </row>
    <row r="40" spans="1:8" ht="37.5">
      <c r="A40" s="35" t="s">
        <v>118</v>
      </c>
      <c r="B40" s="31">
        <v>2000000</v>
      </c>
      <c r="D40" s="12" t="s">
        <v>117</v>
      </c>
      <c r="E40" s="41"/>
      <c r="F40" s="31">
        <v>2000000</v>
      </c>
      <c r="H40" s="12" t="s">
        <v>117</v>
      </c>
    </row>
    <row r="41" spans="5:6" ht="12.5">
      <c r="E41" s="41"/>
      <c r="F41" s="31"/>
    </row>
    <row r="42" spans="1:8" ht="112.5">
      <c r="A42" s="35" t="s">
        <v>119</v>
      </c>
      <c r="B42" s="31">
        <v>1069000.53</v>
      </c>
      <c r="D42" s="12" t="s">
        <v>120</v>
      </c>
      <c r="E42" s="41"/>
      <c r="F42" s="31">
        <v>1069000.53</v>
      </c>
      <c r="H42" s="12" t="s">
        <v>155</v>
      </c>
    </row>
    <row r="43" spans="1:32" ht="12.5">
      <c r="A43" s="31"/>
      <c r="B43" s="31"/>
      <c r="C43" s="13"/>
      <c r="D43" s="13"/>
      <c r="E43" s="41"/>
      <c r="F43" s="31"/>
      <c r="G43" s="13"/>
      <c r="H43" s="13"/>
      <c r="R43" s="13"/>
      <c r="S43" s="13"/>
      <c r="T43" s="13"/>
      <c r="U43" s="13"/>
      <c r="V43" s="13"/>
      <c r="W43" s="13"/>
      <c r="X43" s="13"/>
      <c r="Y43" s="13"/>
      <c r="Z43" s="13"/>
      <c r="AA43" s="13"/>
      <c r="AB43" s="13"/>
      <c r="AC43" s="13"/>
      <c r="AD43" s="13"/>
      <c r="AE43" s="13"/>
      <c r="AF43" s="13"/>
    </row>
    <row r="44" spans="1:32" ht="26">
      <c r="A44" s="21" t="s">
        <v>20</v>
      </c>
      <c r="B44" s="31">
        <f>B40-B42</f>
        <v>930999.47</v>
      </c>
      <c r="C44" s="13"/>
      <c r="D44" s="13"/>
      <c r="E44" s="41"/>
      <c r="F44" s="31">
        <f>F40-F42</f>
        <v>930999.47</v>
      </c>
      <c r="G44" s="13"/>
      <c r="H44" s="13"/>
      <c r="R44" s="13"/>
      <c r="S44" s="13"/>
      <c r="T44" s="13"/>
      <c r="U44" s="13"/>
      <c r="V44" s="13"/>
      <c r="W44" s="13"/>
      <c r="X44" s="13"/>
      <c r="Y44" s="13"/>
      <c r="Z44" s="13"/>
      <c r="AA44" s="13"/>
      <c r="AB44" s="13"/>
      <c r="AC44" s="13"/>
      <c r="AD44" s="13"/>
      <c r="AE44" s="13"/>
      <c r="AF44" s="13"/>
    </row>
    <row r="45" spans="1:32" ht="12.5">
      <c r="A45" s="31"/>
      <c r="B45" s="13"/>
      <c r="C45" s="13"/>
      <c r="D45" s="13"/>
      <c r="E45" s="41"/>
      <c r="F45" s="31"/>
      <c r="G45" s="13"/>
      <c r="H45" s="13"/>
      <c r="R45" s="13"/>
      <c r="S45" s="13"/>
      <c r="T45" s="13"/>
      <c r="U45" s="13"/>
      <c r="V45" s="13"/>
      <c r="W45" s="13"/>
      <c r="X45" s="13"/>
      <c r="Y45" s="13"/>
      <c r="Z45" s="13"/>
      <c r="AA45" s="13"/>
      <c r="AB45" s="13"/>
      <c r="AC45" s="13"/>
      <c r="AD45" s="13"/>
      <c r="AE45" s="13"/>
      <c r="AF45" s="13"/>
    </row>
    <row r="46" spans="1:32" ht="104">
      <c r="A46" s="13"/>
      <c r="B46" s="54" t="s">
        <v>37</v>
      </c>
      <c r="C46" s="13"/>
      <c r="D46" s="13"/>
      <c r="E46" s="41"/>
      <c r="F46" s="54" t="s">
        <v>26</v>
      </c>
      <c r="G46" s="13"/>
      <c r="H46" s="13"/>
      <c r="R46" s="13"/>
      <c r="S46" s="13"/>
      <c r="T46" s="13"/>
      <c r="U46" s="13"/>
      <c r="V46" s="13"/>
      <c r="W46" s="13"/>
      <c r="X46" s="13"/>
      <c r="Y46" s="13"/>
      <c r="Z46" s="13"/>
      <c r="AA46" s="13"/>
      <c r="AB46" s="13"/>
      <c r="AC46" s="13"/>
      <c r="AD46" s="13"/>
      <c r="AE46" s="13"/>
      <c r="AF46" s="13"/>
    </row>
    <row r="47" spans="1:32" ht="13">
      <c r="A47" s="21"/>
      <c r="B47" s="13"/>
      <c r="C47" s="13"/>
      <c r="D47" s="13"/>
      <c r="E47" s="41"/>
      <c r="F47" s="31"/>
      <c r="G47" s="13"/>
      <c r="H47" s="13"/>
      <c r="R47" s="13"/>
      <c r="S47" s="13"/>
      <c r="T47" s="13"/>
      <c r="U47" s="13"/>
      <c r="V47" s="13"/>
      <c r="W47" s="13"/>
      <c r="X47" s="13"/>
      <c r="Y47" s="13"/>
      <c r="Z47" s="13"/>
      <c r="AA47" s="13"/>
      <c r="AB47" s="13"/>
      <c r="AC47" s="13"/>
      <c r="AD47" s="13"/>
      <c r="AE47" s="13"/>
      <c r="AF47" s="13"/>
    </row>
    <row r="48" spans="1:32" ht="26">
      <c r="A48" s="21" t="s">
        <v>121</v>
      </c>
      <c r="B48" s="42">
        <f>B44</f>
        <v>930999.47</v>
      </c>
      <c r="C48" s="13"/>
      <c r="D48" s="13"/>
      <c r="E48" s="41"/>
      <c r="F48" s="42">
        <f>F38-'1 - First Distribution '!F28</f>
        <v>1998600.681618887</v>
      </c>
      <c r="G48" s="13"/>
      <c r="H48" s="13" t="s">
        <v>122</v>
      </c>
      <c r="R48" s="13"/>
      <c r="S48" s="13"/>
      <c r="T48" s="13"/>
      <c r="U48" s="13"/>
      <c r="V48" s="13"/>
      <c r="W48" s="13"/>
      <c r="X48" s="13"/>
      <c r="Y48" s="13"/>
      <c r="Z48" s="13"/>
      <c r="AA48" s="13"/>
      <c r="AB48" s="13"/>
      <c r="AC48" s="13"/>
      <c r="AD48" s="13"/>
      <c r="AE48" s="13"/>
      <c r="AF48" s="13"/>
    </row>
    <row r="49" spans="1:6" ht="13">
      <c r="A49" s="26"/>
      <c r="E49" s="41"/>
      <c r="F49" s="31"/>
    </row>
    <row r="50" spans="1:6" ht="13">
      <c r="A50" s="43" t="s">
        <v>21</v>
      </c>
      <c r="E50" s="41"/>
      <c r="F50" s="31"/>
    </row>
    <row r="51" spans="1:6" ht="13">
      <c r="A51" s="26"/>
      <c r="E51" s="41"/>
      <c r="F51" s="31"/>
    </row>
    <row r="52" spans="1:8" ht="39" customHeight="1">
      <c r="A52" s="37" t="s">
        <v>124</v>
      </c>
      <c r="B52" s="15">
        <v>72200000</v>
      </c>
      <c r="D52" s="12" t="s">
        <v>123</v>
      </c>
      <c r="E52" s="41"/>
      <c r="F52" s="31">
        <v>72200000</v>
      </c>
      <c r="H52" s="12" t="s">
        <v>123</v>
      </c>
    </row>
    <row r="53" spans="1:6" ht="13">
      <c r="A53" s="44"/>
      <c r="E53" s="41"/>
      <c r="F53" s="31"/>
    </row>
    <row r="54" spans="1:8" ht="37.5">
      <c r="A54" s="21" t="s">
        <v>125</v>
      </c>
      <c r="B54" s="15">
        <v>1875098.50</v>
      </c>
      <c r="D54" s="12" t="s">
        <v>126</v>
      </c>
      <c r="E54" s="41"/>
      <c r="F54" s="15">
        <f>'1 - First Distribution '!F30</f>
        <v>24100343.59570545</v>
      </c>
      <c r="H54" s="12" t="s">
        <v>127</v>
      </c>
    </row>
    <row r="55" spans="1:6" ht="13">
      <c r="A55" s="21"/>
      <c r="B55" s="15"/>
      <c r="E55" s="41"/>
      <c r="F55" s="31"/>
    </row>
    <row r="56" spans="1:6" ht="39">
      <c r="A56" s="21" t="s">
        <v>45</v>
      </c>
      <c r="B56" s="15">
        <f>B52-B54</f>
        <v>70324901.5</v>
      </c>
      <c r="E56" s="41"/>
      <c r="F56" s="31">
        <f>F52-'1 - First Distribution '!F30</f>
        <v>48099656.40429455</v>
      </c>
    </row>
    <row r="57" spans="1:6" ht="13">
      <c r="A57" s="43" t="s">
        <v>23</v>
      </c>
      <c r="E57" s="41"/>
      <c r="F57" s="31"/>
    </row>
    <row r="58" spans="5:6" ht="12.5">
      <c r="E58" s="41"/>
      <c r="F58" s="31"/>
    </row>
    <row r="59" spans="1:8" ht="26">
      <c r="A59" s="37" t="s">
        <v>129</v>
      </c>
      <c r="B59" s="31">
        <v>45100000</v>
      </c>
      <c r="D59" s="12" t="s">
        <v>128</v>
      </c>
      <c r="E59" s="41"/>
      <c r="F59" s="31">
        <v>45100000</v>
      </c>
      <c r="H59" s="12" t="s">
        <v>128</v>
      </c>
    </row>
    <row r="60" spans="1:6" ht="13">
      <c r="A60" s="37"/>
      <c r="B60" s="31"/>
      <c r="E60" s="41"/>
      <c r="F60" s="31"/>
    </row>
    <row r="61" spans="1:8" ht="37.5">
      <c r="A61" s="37" t="s">
        <v>130</v>
      </c>
      <c r="B61" s="15">
        <v>34552.94</v>
      </c>
      <c r="C61" s="20"/>
      <c r="D61" s="13" t="s">
        <v>131</v>
      </c>
      <c r="E61" s="41"/>
      <c r="F61" s="15">
        <f>'1 - First Distribution '!F32</f>
        <v>15054369.752996065</v>
      </c>
      <c r="H61" s="12" t="s">
        <v>132</v>
      </c>
    </row>
    <row r="62" spans="1:5" ht="13">
      <c r="A62" s="37"/>
      <c r="B62" s="15"/>
      <c r="C62" s="20"/>
      <c r="D62" s="13"/>
      <c r="E62" s="41"/>
    </row>
    <row r="63" spans="1:6" ht="39">
      <c r="A63" s="21" t="s">
        <v>44</v>
      </c>
      <c r="B63" s="7">
        <f>B59-B61</f>
        <v>45065447.060000002</v>
      </c>
      <c r="E63" s="41" t="s">
        <v>27</v>
      </c>
      <c r="F63" s="31">
        <f>F59-'1 - First Distribution '!F32</f>
        <v>30045630.247003935</v>
      </c>
    </row>
    <row r="64" ht="12.5">
      <c r="E64" s="41"/>
    </row>
    <row r="65" spans="1:5" ht="13">
      <c r="A65" s="43" t="s">
        <v>86</v>
      </c>
      <c r="E65" s="41"/>
    </row>
    <row r="66" ht="12.5">
      <c r="E66" s="41"/>
    </row>
    <row r="67" spans="1:6" ht="39">
      <c r="A67" s="11" t="s">
        <v>43</v>
      </c>
      <c r="B67" s="31">
        <f>B30+B48+B56+B63</f>
        <v>129639231.57000001</v>
      </c>
      <c r="E67" s="41"/>
      <c r="F67" s="31">
        <f>F30+F48+F56+F63</f>
        <v>118517020.42000002</v>
      </c>
    </row>
    <row r="68" spans="1:6" ht="13">
      <c r="A68" s="11"/>
      <c r="E68" s="41"/>
      <c r="F68" s="31"/>
    </row>
    <row r="69" spans="1:6" ht="13">
      <c r="A69" s="26" t="s">
        <v>9</v>
      </c>
      <c r="E69" s="41"/>
      <c r="F69" s="31"/>
    </row>
    <row r="70" ht="12.5">
      <c r="E70" s="41"/>
    </row>
    <row r="71" spans="1:8" ht="13">
      <c r="A71" s="45" t="s">
        <v>32</v>
      </c>
      <c r="B71" s="42">
        <f>B10*B30/(B30+B48+B56+B63)</f>
        <v>1020592.3430661222</v>
      </c>
      <c r="D71" s="56"/>
      <c r="E71" s="41"/>
      <c r="F71" s="42">
        <f>F10*F30/(F30+F48+F56+F63)</f>
        <v>3216622.3584485659</v>
      </c>
      <c r="H71" s="42"/>
    </row>
    <row r="72" spans="1:5" ht="13">
      <c r="A72" s="11"/>
      <c r="E72" s="41"/>
    </row>
    <row r="73" spans="1:8" ht="13">
      <c r="A73" s="45" t="s">
        <v>33</v>
      </c>
      <c r="B73" s="42">
        <f>B10*B48/(B30+B48+B56+B63)</f>
        <v>71345.490267038185</v>
      </c>
      <c r="D73" s="56"/>
      <c r="E73" s="41"/>
      <c r="F73" s="42">
        <f>F10*F48/(F30+F48+F56+F63)</f>
        <v>167532.41450252949</v>
      </c>
      <c r="H73" s="42"/>
    </row>
    <row r="74" spans="1:5" ht="13">
      <c r="A74" s="11"/>
      <c r="E74" s="41"/>
    </row>
    <row r="75" spans="1:8" ht="13">
      <c r="A75" s="45" t="s">
        <v>5</v>
      </c>
      <c r="B75" s="42">
        <f>B10*B56/(B30+B48+B56+B63)</f>
        <v>5389223.8794708112</v>
      </c>
      <c r="D75" s="56"/>
      <c r="E75" s="41"/>
      <c r="F75" s="42">
        <f>F10*F56/(F30+F48+F56+F63)</f>
        <v>4031946.7756942096</v>
      </c>
      <c r="H75" s="42"/>
    </row>
    <row r="76" spans="1:5" ht="13">
      <c r="A76" s="11"/>
      <c r="E76" s="41"/>
    </row>
    <row r="77" spans="1:8" ht="13">
      <c r="A77" s="45" t="s">
        <v>6</v>
      </c>
      <c r="B77" s="42">
        <f>B10*B63/(B30+B48+B56+B63)</f>
        <v>3453510.4671960282</v>
      </c>
      <c r="D77" s="56"/>
      <c r="E77" s="41"/>
      <c r="F77" s="42">
        <f>F10*F63/(F30+F48+F56+F63)</f>
        <v>2518570.6313546933</v>
      </c>
      <c r="H77" s="42"/>
    </row>
    <row r="78" ht="12.5">
      <c r="F78" s="31"/>
    </row>
    <row r="79" ht="12.5">
      <c r="F79" s="31"/>
    </row>
  </sheetData>
  <pageMargins left="0.7" right="0.7" top="0.75" bottom="0.75" header="0.3" footer="0.3"/>
  <pageSetup orientation="portrait" paperSize="9" scale="1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62"/>
  <sheetViews>
    <sheetView zoomScale="67" zoomScaleNormal="67" workbookViewId="0" topLeftCell="A1">
      <pane ySplit="1" topLeftCell="A35" activePane="bottomLeft" state="frozen"/>
      <selection pane="topLeft" activeCell="A1" sqref="A1"/>
      <selection pane="bottomLeft" activeCell="H1" sqref="H1"/>
    </sheetView>
  </sheetViews>
  <sheetFormatPr defaultColWidth="9.1796875" defaultRowHeight="12.75"/>
  <cols>
    <col min="1" max="1" width="38.1428571428571" customWidth="1"/>
    <col min="2" max="2" width="22" customWidth="1"/>
    <col min="3" max="3" width="11.4285714285714" customWidth="1"/>
    <col min="4" max="4" width="14.5714285714286" customWidth="1"/>
    <col min="5" max="5" width="3" customWidth="1"/>
    <col min="6" max="6" width="22.1428571428571" customWidth="1"/>
    <col min="7" max="7" width="5" customWidth="1"/>
    <col min="8" max="8" width="31.8571428571429" customWidth="1"/>
    <col min="9" max="9" width="58.1428571428571" customWidth="1"/>
    <col min="13" max="13" width="67.8571428571429" customWidth="1"/>
  </cols>
  <sheetData>
    <row r="1" spans="1:8" ht="42" customHeight="1">
      <c r="A1" s="23" t="s">
        <v>80</v>
      </c>
      <c r="B1" s="27" t="s">
        <v>39</v>
      </c>
      <c r="C1" s="24"/>
      <c r="D1" s="24"/>
      <c r="E1" s="24"/>
      <c r="F1" s="27" t="s">
        <v>38</v>
      </c>
      <c r="G1" s="24"/>
      <c r="H1" s="58" t="s">
        <v>170</v>
      </c>
    </row>
    <row r="2" spans="2:7" ht="13">
      <c r="B2" s="1"/>
      <c r="E2" s="41"/>
      <c r="F2" s="1"/>
      <c r="G2" s="1"/>
    </row>
    <row r="3" spans="2:6" s="1" customFormat="1" ht="13">
      <c r="B3" s="1" t="s">
        <v>1</v>
      </c>
      <c r="C3"/>
      <c r="D3"/>
      <c r="E3" s="41"/>
      <c r="F3" s="1" t="s">
        <v>1</v>
      </c>
    </row>
    <row r="4" spans="1:5" ht="13">
      <c r="A4" s="1" t="s">
        <v>10</v>
      </c>
      <c r="E4" s="41"/>
    </row>
    <row r="5" ht="12.5">
      <c r="E5" s="41"/>
    </row>
    <row r="6" spans="1:7" ht="13">
      <c r="A6" s="4" t="s">
        <v>7</v>
      </c>
      <c r="B6" s="5">
        <f>'1 - First Distribution '!B26</f>
        <v>16516058.227020701</v>
      </c>
      <c r="E6" s="41"/>
      <c r="F6" s="5">
        <f>'1 - First Distribution '!F26</f>
        <v>19226866.912917368</v>
      </c>
      <c r="G6" s="5"/>
    </row>
    <row r="7" spans="1:7" ht="13">
      <c r="A7" s="3"/>
      <c r="B7" s="5"/>
      <c r="E7" s="41"/>
      <c r="F7" s="2"/>
      <c r="G7" s="2"/>
    </row>
    <row r="8" spans="1:7" ht="13">
      <c r="A8" s="4" t="s">
        <v>12</v>
      </c>
      <c r="B8" s="5">
        <f>'1 - First Distribution '!B28</f>
        <v>1069000.5324932493</v>
      </c>
      <c r="E8" s="41"/>
      <c r="F8" s="2">
        <f>'1 - First Distribution '!F28</f>
        <v>1001399.3183811129</v>
      </c>
      <c r="G8" s="2"/>
    </row>
    <row r="9" spans="1:7" ht="13">
      <c r="A9" s="3"/>
      <c r="B9" s="5"/>
      <c r="E9" s="41"/>
      <c r="F9" s="2"/>
      <c r="G9" s="2"/>
    </row>
    <row r="10" spans="1:7" ht="13">
      <c r="A10" s="4" t="s">
        <v>5</v>
      </c>
      <c r="B10" s="5">
        <f>'1 - First Distribution '!B30</f>
        <v>25727279.482004199</v>
      </c>
      <c r="E10" s="41"/>
      <c r="F10" s="2">
        <f>'1 - First Distribution '!F30</f>
        <v>24100343.59570545</v>
      </c>
      <c r="G10" s="2"/>
    </row>
    <row r="11" spans="1:7" ht="13">
      <c r="A11" s="3"/>
      <c r="B11" s="5"/>
      <c r="E11" s="41"/>
      <c r="F11" s="2"/>
      <c r="G11" s="2"/>
    </row>
    <row r="12" spans="1:7" ht="13">
      <c r="A12" s="4" t="s">
        <v>6</v>
      </c>
      <c r="B12" s="5">
        <f>'1 - First Distribution '!B32</f>
        <v>16070641.338481847</v>
      </c>
      <c r="E12" s="41"/>
      <c r="F12" s="2">
        <f>'1 - First Distribution '!F32</f>
        <v>15054369.752996065</v>
      </c>
      <c r="G12" s="2"/>
    </row>
    <row r="13" ht="12.5">
      <c r="E13" s="41"/>
    </row>
    <row r="14" spans="1:5" ht="13">
      <c r="A14" s="1" t="s">
        <v>11</v>
      </c>
      <c r="E14" s="41"/>
    </row>
    <row r="15" ht="12.5">
      <c r="E15" s="41"/>
    </row>
    <row r="16" spans="1:7" ht="13">
      <c r="A16" s="4" t="s">
        <v>7</v>
      </c>
      <c r="B16" s="5">
        <f>'2 - Second Distribution'!B71</f>
        <v>1020592.3430661222</v>
      </c>
      <c r="E16" s="41"/>
      <c r="F16" s="5">
        <f>'2 - Second Distribution'!F71</f>
        <v>3216622.3584485659</v>
      </c>
      <c r="G16" s="5"/>
    </row>
    <row r="17" spans="1:7" ht="13">
      <c r="A17" s="3"/>
      <c r="E17" s="41"/>
      <c r="F17" s="5"/>
      <c r="G17" s="5"/>
    </row>
    <row r="18" spans="1:7" ht="13">
      <c r="A18" s="4" t="s">
        <v>12</v>
      </c>
      <c r="B18" s="5">
        <f>'2 - Second Distribution'!B73</f>
        <v>71345.490267038185</v>
      </c>
      <c r="E18" s="41"/>
      <c r="F18" s="5">
        <f>'2 - Second Distribution'!F73</f>
        <v>167532.41450252949</v>
      </c>
      <c r="G18" s="5"/>
    </row>
    <row r="19" spans="1:7" ht="13">
      <c r="A19" s="3"/>
      <c r="E19" s="41"/>
      <c r="F19" s="5"/>
      <c r="G19" s="5"/>
    </row>
    <row r="20" spans="1:7" ht="13">
      <c r="A20" s="4" t="s">
        <v>5</v>
      </c>
      <c r="B20" s="5">
        <f>'2 - Second Distribution'!B75</f>
        <v>5389223.8794708112</v>
      </c>
      <c r="E20" s="41"/>
      <c r="F20" s="5">
        <f>'2 - Second Distribution'!F75</f>
        <v>4031946.7756942096</v>
      </c>
      <c r="G20" s="5"/>
    </row>
    <row r="21" spans="1:7" ht="13">
      <c r="A21" s="3"/>
      <c r="E21" s="41"/>
      <c r="F21" s="5"/>
      <c r="G21" s="5"/>
    </row>
    <row r="22" spans="1:7" ht="13">
      <c r="A22" s="4" t="s">
        <v>6</v>
      </c>
      <c r="B22" s="5">
        <f>'2 - Second Distribution'!B77</f>
        <v>3453510.4671960282</v>
      </c>
      <c r="E22" s="41"/>
      <c r="F22" s="5">
        <f>'2 - Second Distribution'!F77</f>
        <v>2518570.6313546933</v>
      </c>
      <c r="G22" s="5"/>
    </row>
    <row r="23" ht="12.5">
      <c r="E23" s="41"/>
    </row>
    <row r="24" spans="1:5" ht="13">
      <c r="A24" s="1" t="s">
        <v>28</v>
      </c>
      <c r="E24" s="41"/>
    </row>
    <row r="25" ht="12.5">
      <c r="E25" s="41"/>
    </row>
    <row r="26" spans="1:9" ht="13">
      <c r="A26" s="4" t="s">
        <v>7</v>
      </c>
      <c r="B26" s="2">
        <f>B6+B16</f>
        <v>17536650.570086822</v>
      </c>
      <c r="E26" s="41"/>
      <c r="F26" s="2">
        <f>F6+F16</f>
        <v>22443489.271365933</v>
      </c>
      <c r="G26" s="2"/>
      <c r="I26" s="2"/>
    </row>
    <row r="27" spans="1:5" ht="13">
      <c r="A27" s="3"/>
      <c r="E27" s="41"/>
    </row>
    <row r="28" spans="1:7" ht="13">
      <c r="A28" s="4" t="s">
        <v>12</v>
      </c>
      <c r="B28" s="2">
        <f>B8+B18</f>
        <v>1140346.0227602874</v>
      </c>
      <c r="E28" s="41"/>
      <c r="F28" s="2">
        <f>F8+F18</f>
        <v>1168931.7328836424</v>
      </c>
      <c r="G28" s="2"/>
    </row>
    <row r="29" spans="1:5" ht="13">
      <c r="A29" s="3"/>
      <c r="E29" s="41"/>
    </row>
    <row r="30" spans="1:7" ht="13">
      <c r="A30" s="4" t="s">
        <v>5</v>
      </c>
      <c r="B30" s="2">
        <f>B10+B20</f>
        <v>31116503.361475009</v>
      </c>
      <c r="E30" s="41"/>
      <c r="F30" s="2">
        <f>F10+F20</f>
        <v>28132290.37139966</v>
      </c>
      <c r="G30" s="2"/>
    </row>
    <row r="31" spans="1:5" ht="13">
      <c r="A31" s="3"/>
      <c r="E31" s="41"/>
    </row>
    <row r="32" spans="1:7" ht="13">
      <c r="A32" s="4" t="s">
        <v>6</v>
      </c>
      <c r="B32" s="2">
        <f>B12+B22</f>
        <v>19524151.805677876</v>
      </c>
      <c r="E32" s="41"/>
      <c r="F32" s="2">
        <f>F12+F22</f>
        <v>17572940.384350758</v>
      </c>
      <c r="G32" s="2"/>
    </row>
    <row r="33" spans="1:7" ht="13">
      <c r="A33" s="4"/>
      <c r="B33" s="2"/>
      <c r="E33" s="41"/>
      <c r="F33" s="2"/>
      <c r="G33" s="2"/>
    </row>
    <row r="34" spans="1:7" ht="13">
      <c r="A34" s="1" t="s">
        <v>46</v>
      </c>
      <c r="E34" s="41"/>
      <c r="F34" s="2"/>
      <c r="G34" s="2"/>
    </row>
    <row r="35" spans="5:7" ht="12.5">
      <c r="E35" s="41"/>
      <c r="F35" s="2"/>
      <c r="G35" s="2"/>
    </row>
    <row r="36" spans="1:7" ht="150">
      <c r="A36" s="4" t="s">
        <v>133</v>
      </c>
      <c r="B36" s="50">
        <f>'1 - First Distribution '!B26+'2 - Second Distribution'!B71</f>
        <v>17536650.570086822</v>
      </c>
      <c r="D36" s="12" t="s">
        <v>162</v>
      </c>
      <c r="E36" s="41"/>
      <c r="F36" s="2"/>
      <c r="G36" s="2"/>
    </row>
    <row r="37" spans="1:7" ht="13">
      <c r="A37" s="3"/>
      <c r="E37" s="41"/>
      <c r="F37" s="2"/>
      <c r="G37" s="2"/>
    </row>
    <row r="38" spans="1:7" ht="13">
      <c r="A38" s="4" t="s">
        <v>12</v>
      </c>
      <c r="B38" s="50">
        <f>'1 - First Distribution '!B28+'2 - Second Distribution'!B73</f>
        <v>1140346.0227602874</v>
      </c>
      <c r="E38" s="41"/>
      <c r="F38" s="2"/>
      <c r="G38" s="2"/>
    </row>
    <row r="39" spans="1:7" ht="13">
      <c r="A39" s="3"/>
      <c r="E39" s="41"/>
      <c r="F39" s="2"/>
      <c r="G39" s="2"/>
    </row>
    <row r="40" spans="1:7" ht="13">
      <c r="A40" s="4" t="s">
        <v>5</v>
      </c>
      <c r="B40" s="50">
        <f>'1 - First Distribution '!B30+'2 - Second Distribution'!B75</f>
        <v>31116503.361475009</v>
      </c>
      <c r="E40" s="41"/>
      <c r="F40" s="2"/>
      <c r="G40" s="2"/>
    </row>
    <row r="41" spans="1:8" ht="13">
      <c r="A41" s="3"/>
      <c r="E41" s="41"/>
      <c r="F41" s="2"/>
      <c r="G41" s="2"/>
      <c r="H41" s="12"/>
    </row>
    <row r="42" spans="1:8" ht="13">
      <c r="A42" s="4" t="s">
        <v>6</v>
      </c>
      <c r="B42" s="50">
        <f>'1 - First Distribution '!B32+'2 - Second Distribution'!B77</f>
        <v>19524151.805677876</v>
      </c>
      <c r="E42" s="41"/>
      <c r="H42" s="12"/>
    </row>
    <row r="43" spans="5:8" ht="12.5">
      <c r="E43" s="41"/>
      <c r="H43" s="12"/>
    </row>
    <row r="44" spans="1:8" ht="13">
      <c r="A44" s="1" t="s">
        <v>149</v>
      </c>
      <c r="E44" s="41"/>
      <c r="H44" s="12"/>
    </row>
    <row r="45" spans="1:8" ht="63.65" customHeight="1">
      <c r="A45" s="4" t="s">
        <v>134</v>
      </c>
      <c r="B45" s="2">
        <f>B26-B36</f>
        <v>0</v>
      </c>
      <c r="D45" s="12" t="s">
        <v>163</v>
      </c>
      <c r="E45" s="41"/>
      <c r="F45" s="2">
        <f>(F26-B36)</f>
        <v>4906838.7012791112</v>
      </c>
      <c r="H45" s="12" t="s">
        <v>135</v>
      </c>
    </row>
    <row r="46" spans="2:8" ht="12.5">
      <c r="B46" s="2"/>
      <c r="D46" s="12"/>
      <c r="E46" s="41"/>
      <c r="F46" s="2"/>
      <c r="H46" s="12"/>
    </row>
    <row r="47" spans="1:8" ht="25">
      <c r="A47" s="4" t="s">
        <v>136</v>
      </c>
      <c r="B47" s="2">
        <f>B28-B38</f>
        <v>0</v>
      </c>
      <c r="D47" s="12" t="s">
        <v>137</v>
      </c>
      <c r="E47" s="41"/>
      <c r="F47" s="2">
        <f>F28-B38</f>
        <v>28585.710123355035</v>
      </c>
      <c r="H47" s="12" t="s">
        <v>138</v>
      </c>
    </row>
    <row r="48" spans="2:8" ht="12.5">
      <c r="B48" s="2"/>
      <c r="D48" s="12"/>
      <c r="E48" s="41"/>
      <c r="F48" s="2"/>
      <c r="H48" s="12"/>
    </row>
    <row r="49" spans="1:8" ht="25">
      <c r="A49" s="4" t="s">
        <v>140</v>
      </c>
      <c r="B49" s="2">
        <f>B30-B40</f>
        <v>0</v>
      </c>
      <c r="D49" s="12" t="s">
        <v>139</v>
      </c>
      <c r="E49" s="41"/>
      <c r="F49" s="2">
        <f>F30-B40</f>
        <v>-2984212.9900753498</v>
      </c>
      <c r="H49" s="12" t="s">
        <v>141</v>
      </c>
    </row>
    <row r="50" spans="2:8" ht="12.5">
      <c r="B50" s="2"/>
      <c r="D50" s="12"/>
      <c r="E50" s="41"/>
      <c r="F50" s="2"/>
      <c r="H50" s="12"/>
    </row>
    <row r="51" spans="1:8" ht="25">
      <c r="A51" s="4" t="s">
        <v>50</v>
      </c>
      <c r="B51" s="2">
        <f>B32-B42</f>
        <v>0</v>
      </c>
      <c r="D51" s="12" t="s">
        <v>142</v>
      </c>
      <c r="E51" s="41"/>
      <c r="F51" s="2">
        <f>F32-B42</f>
        <v>-1951211.4213271178</v>
      </c>
      <c r="H51" s="12" t="s">
        <v>40</v>
      </c>
    </row>
    <row r="52" spans="2:8" ht="12.5">
      <c r="B52" s="2"/>
      <c r="C52" s="2"/>
      <c r="D52" s="2"/>
      <c r="H52" s="12"/>
    </row>
    <row r="53" spans="1:6" ht="13">
      <c r="A53" s="1" t="s">
        <v>78</v>
      </c>
      <c r="B53" s="3">
        <f>-(B47+B49+B51)</f>
        <v>0</v>
      </c>
      <c r="F53" s="3">
        <f>-(F49+F51)</f>
        <v>4935424.4114024676</v>
      </c>
    </row>
    <row r="59" ht="12.5">
      <c r="F59" s="2"/>
    </row>
    <row r="62" ht="12.5">
      <c r="A62" s="12"/>
    </row>
  </sheetData>
  <pageMargins left="0.7" right="0.7" top="0.75" bottom="0.75" header="0.3" footer="0.3"/>
  <pageSetup orientation="landscape" paperSize="9" scale="10"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P106"/>
  <sheetViews>
    <sheetView tabSelected="1" zoomScale="70" zoomScaleNormal="70" workbookViewId="0" topLeftCell="A1">
      <pane ySplit="1" topLeftCell="A2" activePane="bottomLeft" state="frozen"/>
      <selection pane="topLeft" activeCell="A1" sqref="A1"/>
      <selection pane="bottomLeft" activeCell="J4" sqref="J4"/>
    </sheetView>
  </sheetViews>
  <sheetFormatPr defaultColWidth="9.1796875" defaultRowHeight="12.75"/>
  <cols>
    <col min="1" max="1" width="48" style="12" customWidth="1"/>
    <col min="2" max="2" width="31.1428571428571" style="12" customWidth="1"/>
    <col min="3" max="3" width="19.4285714285714" style="12" customWidth="1"/>
    <col min="4" max="4" width="28.1428571428571" style="12" customWidth="1"/>
    <col min="5" max="5" width="3.71428571428571" style="12" customWidth="1"/>
    <col min="6" max="6" width="102.285714285714" style="12" hidden="1" customWidth="1"/>
    <col min="7" max="7" width="21.8571428571429" style="12" customWidth="1"/>
    <col min="8" max="8" width="17.1428571428571" style="12" customWidth="1"/>
    <col min="9" max="9" width="37.8571428571429" style="12" customWidth="1"/>
    <col min="10" max="10" width="15" style="12" bestFit="1" customWidth="1"/>
    <col min="11" max="12" width="9.14285714285714" style="12"/>
    <col min="13" max="13" width="25.7142857142857" style="12" customWidth="1"/>
    <col min="14" max="14" width="26.4285714285714" style="12" customWidth="1"/>
    <col min="15" max="15" width="24.8571428571429" style="12" customWidth="1"/>
    <col min="16" max="16" width="20.1428571428571" style="12" customWidth="1"/>
    <col min="17" max="16384" width="9.14285714285714" style="12"/>
  </cols>
  <sheetData>
    <row r="1" spans="1:9" ht="23.15" customHeight="1">
      <c r="A1" s="25" t="s">
        <v>79</v>
      </c>
      <c r="B1" s="27" t="s">
        <v>39</v>
      </c>
      <c r="C1" s="25"/>
      <c r="D1" s="25"/>
      <c r="E1" s="25"/>
      <c r="F1" s="25"/>
      <c r="G1" s="27" t="s">
        <v>38</v>
      </c>
      <c r="H1" s="39"/>
      <c r="I1" s="58" t="s">
        <v>170</v>
      </c>
    </row>
    <row r="2" spans="1:7" s="13" customFormat="1" ht="13">
      <c r="A2" s="40"/>
      <c r="B2" s="40"/>
      <c r="C2" s="40"/>
      <c r="D2" s="40"/>
      <c r="E2" s="41"/>
      <c r="F2" s="40"/>
      <c r="G2" s="40"/>
    </row>
    <row r="3" spans="2:9" ht="13">
      <c r="B3" s="13"/>
      <c r="E3" s="41"/>
      <c r="I3" s="16"/>
    </row>
    <row r="4" spans="1:9" ht="13">
      <c r="A4" s="11"/>
      <c r="B4" s="11" t="s">
        <v>1</v>
      </c>
      <c r="C4" s="11"/>
      <c r="D4" s="11"/>
      <c r="E4" s="41"/>
      <c r="F4" s="11"/>
      <c r="G4" s="11" t="s">
        <v>1</v>
      </c>
      <c r="I4" s="16"/>
    </row>
    <row r="5" spans="1:9" ht="25">
      <c r="A5" s="11" t="s">
        <v>82</v>
      </c>
      <c r="B5" s="42">
        <v>1311939.79</v>
      </c>
      <c r="C5" s="11"/>
      <c r="D5" s="12" t="s">
        <v>164</v>
      </c>
      <c r="E5" s="41"/>
      <c r="F5" s="11"/>
      <c r="G5" s="42">
        <v>1311939.79</v>
      </c>
      <c r="I5" s="12" t="s">
        <v>164</v>
      </c>
    </row>
    <row r="6" spans="1:9" ht="13">
      <c r="A6" s="40" t="s">
        <v>146</v>
      </c>
      <c r="B6" s="42">
        <v>28883925.969999999</v>
      </c>
      <c r="C6" s="40"/>
      <c r="D6" s="17"/>
      <c r="E6" s="41"/>
      <c r="F6" s="40"/>
      <c r="G6" s="42">
        <v>28883925.969999999</v>
      </c>
      <c r="I6" s="17"/>
    </row>
    <row r="7" spans="1:9" ht="13">
      <c r="A7" s="40" t="s">
        <v>147</v>
      </c>
      <c r="B7" s="42">
        <f>SUM(B5,B6)</f>
        <v>30195865.759999998</v>
      </c>
      <c r="C7" s="40"/>
      <c r="D7" s="17"/>
      <c r="E7" s="41"/>
      <c r="F7" s="40"/>
      <c r="G7" s="42">
        <f>SUM(G5,G6)</f>
        <v>30195865.759999998</v>
      </c>
      <c r="I7" s="17"/>
    </row>
    <row r="8" spans="1:9" ht="13">
      <c r="A8" s="40"/>
      <c r="B8" s="42"/>
      <c r="C8" s="40"/>
      <c r="D8" s="17"/>
      <c r="E8" s="41"/>
      <c r="F8" s="40"/>
      <c r="G8" s="42"/>
      <c r="I8" s="17"/>
    </row>
    <row r="9" spans="1:9" ht="13">
      <c r="A9" s="40" t="s">
        <v>42</v>
      </c>
      <c r="B9" s="42">
        <v>2500000</v>
      </c>
      <c r="C9" s="13"/>
      <c r="D9" s="13"/>
      <c r="E9" s="41"/>
      <c r="F9" s="13"/>
      <c r="G9" s="42">
        <v>2500000</v>
      </c>
      <c r="I9" s="16"/>
    </row>
    <row r="10" spans="1:9" ht="25">
      <c r="A10" s="40" t="s">
        <v>63</v>
      </c>
      <c r="B10" s="42">
        <v>250000</v>
      </c>
      <c r="C10" s="13"/>
      <c r="D10" s="17" t="s">
        <v>51</v>
      </c>
      <c r="E10" s="41"/>
      <c r="F10" s="13"/>
      <c r="G10" s="42">
        <v>250000</v>
      </c>
      <c r="I10" s="17" t="s">
        <v>52</v>
      </c>
    </row>
    <row r="11" spans="1:9" ht="13">
      <c r="A11" s="40" t="s">
        <v>166</v>
      </c>
      <c r="B11" s="42">
        <v>1311939.79</v>
      </c>
      <c r="C11" s="13"/>
      <c r="D11" s="12" t="s">
        <v>167</v>
      </c>
      <c r="E11" s="41"/>
      <c r="F11" s="13"/>
      <c r="G11" s="42">
        <v>1311939.79</v>
      </c>
      <c r="I11" s="17"/>
    </row>
    <row r="12" spans="1:9" ht="37.5">
      <c r="A12" s="40" t="s">
        <v>165</v>
      </c>
      <c r="B12" s="48">
        <f>'3 - Catch-up Payments'!$B45+'3 - Catch-up Payments'!$B$47</f>
        <v>0</v>
      </c>
      <c r="C12" s="40"/>
      <c r="E12" s="41"/>
      <c r="F12" s="40"/>
      <c r="G12" s="42">
        <f>'3 - Catch-up Payments'!$F45+'3 - Catch-up Payments'!$F$47</f>
        <v>4935424.4114024658</v>
      </c>
      <c r="I12" s="12" t="s">
        <v>143</v>
      </c>
    </row>
    <row r="13" spans="1:7" ht="13">
      <c r="A13" s="40"/>
      <c r="B13" s="40"/>
      <c r="C13" s="40"/>
      <c r="D13" s="40"/>
      <c r="E13" s="41"/>
      <c r="F13" s="40"/>
      <c r="G13" s="42"/>
    </row>
    <row r="14" spans="1:9" ht="13">
      <c r="A14" s="40" t="s">
        <v>0</v>
      </c>
      <c r="B14" s="48">
        <f>B7-B9-B10-B11-B12</f>
        <v>26133925.969999999</v>
      </c>
      <c r="C14" s="40"/>
      <c r="D14" s="40"/>
      <c r="E14" s="41"/>
      <c r="F14" s="40"/>
      <c r="G14" s="48">
        <f>G7-G9-G10-G11-G12</f>
        <v>21198501.558597535</v>
      </c>
      <c r="H14" s="31"/>
      <c r="I14" s="16"/>
    </row>
    <row r="15" spans="1:7" ht="12.5">
      <c r="A15" s="42"/>
      <c r="B15" s="42"/>
      <c r="C15" s="42"/>
      <c r="D15" s="42"/>
      <c r="E15" s="41"/>
      <c r="F15" s="42"/>
      <c r="G15" s="42"/>
    </row>
    <row r="16" spans="1:9" ht="100">
      <c r="A16" s="40" t="s">
        <v>64</v>
      </c>
      <c r="B16" s="48">
        <f>('3 - Catch-up Payments'!$B$47+'3 - Catch-up Payments'!$B$49+'3 - Catch-up Payments'!$B$51)</f>
        <v>0</v>
      </c>
      <c r="C16" s="40"/>
      <c r="D16" s="40"/>
      <c r="E16" s="41"/>
      <c r="F16" s="40"/>
      <c r="G16" s="42">
        <f>('3 - Catch-up Payments'!$F$49+'3 - Catch-up Payments'!$F$51)</f>
        <v>-4935424.4114024676</v>
      </c>
      <c r="I16" s="12" t="s">
        <v>53</v>
      </c>
    </row>
    <row r="17" spans="1:7" ht="13">
      <c r="A17" s="40"/>
      <c r="B17" s="40"/>
      <c r="C17" s="40"/>
      <c r="D17" s="40"/>
      <c r="E17" s="41"/>
      <c r="F17" s="40"/>
      <c r="G17" s="42"/>
    </row>
    <row r="18" spans="1:9" ht="25">
      <c r="A18" s="40" t="s">
        <v>65</v>
      </c>
      <c r="B18" s="42">
        <v>414975.565</v>
      </c>
      <c r="C18" s="40"/>
      <c r="D18" s="40"/>
      <c r="E18" s="41"/>
      <c r="F18" s="40"/>
      <c r="G18" s="42">
        <v>414975.565</v>
      </c>
      <c r="I18" s="17" t="s">
        <v>54</v>
      </c>
    </row>
    <row r="19" spans="1:9" ht="12.5">
      <c r="A19" s="13"/>
      <c r="B19" s="13"/>
      <c r="C19" s="13"/>
      <c r="D19" s="13"/>
      <c r="E19" s="41"/>
      <c r="F19" s="13"/>
      <c r="G19" s="13"/>
      <c r="I19" s="18"/>
    </row>
    <row r="20" spans="1:9" ht="25">
      <c r="A20" s="40" t="s">
        <v>66</v>
      </c>
      <c r="B20" s="42">
        <v>600000</v>
      </c>
      <c r="C20" s="40"/>
      <c r="D20" s="17" t="s">
        <v>55</v>
      </c>
      <c r="E20" s="41"/>
      <c r="F20" s="40"/>
      <c r="G20" s="42">
        <v>600000</v>
      </c>
      <c r="I20" s="17" t="s">
        <v>56</v>
      </c>
    </row>
    <row r="21" spans="1:7" ht="12.5">
      <c r="A21" s="13"/>
      <c r="B21" s="13"/>
      <c r="C21" s="13"/>
      <c r="D21" s="13"/>
      <c r="E21" s="41"/>
      <c r="F21" s="13"/>
      <c r="G21" s="13"/>
    </row>
    <row r="22" spans="1:7" ht="26">
      <c r="A22" s="40" t="s">
        <v>34</v>
      </c>
      <c r="B22" s="42">
        <f>B14-B16-B18-B20</f>
        <v>25118950.404999997</v>
      </c>
      <c r="C22" s="40"/>
      <c r="D22" s="40"/>
      <c r="E22" s="41"/>
      <c r="F22" s="40"/>
      <c r="G22" s="42">
        <f>G14-G16-G18-G20</f>
        <v>25118950.405000001</v>
      </c>
    </row>
    <row r="23" spans="1:7" ht="12.5">
      <c r="A23" s="13"/>
      <c r="B23" s="13"/>
      <c r="C23" s="13"/>
      <c r="D23" s="13"/>
      <c r="E23" s="41"/>
      <c r="F23" s="13"/>
      <c r="G23" s="13"/>
    </row>
    <row r="24" spans="1:6" ht="13">
      <c r="A24" s="43" t="s">
        <v>14</v>
      </c>
      <c r="B24" s="43"/>
      <c r="C24" s="43"/>
      <c r="D24" s="43"/>
      <c r="E24" s="41"/>
      <c r="F24" s="43"/>
    </row>
    <row r="25" ht="12.5">
      <c r="E25" s="41"/>
    </row>
    <row r="26" spans="1:7" ht="26">
      <c r="A26" s="21" t="s">
        <v>2</v>
      </c>
      <c r="B26" s="31">
        <v>57600000</v>
      </c>
      <c r="C26" s="21"/>
      <c r="D26" s="21"/>
      <c r="E26" s="41"/>
      <c r="F26" s="21"/>
      <c r="G26" s="31">
        <v>57600000</v>
      </c>
    </row>
    <row r="27" spans="1:7" ht="12.5">
      <c r="A27" s="36"/>
      <c r="B27" s="36"/>
      <c r="C27" s="36"/>
      <c r="D27" s="36"/>
      <c r="E27" s="41"/>
      <c r="F27" s="36"/>
      <c r="G27" s="31"/>
    </row>
    <row r="28" spans="1:9" ht="109.5" customHeight="1">
      <c r="A28" s="21" t="s">
        <v>67</v>
      </c>
      <c r="B28" s="31">
        <f>1.5*7500000</f>
        <v>11250000</v>
      </c>
      <c r="C28" s="21"/>
      <c r="D28" s="9" t="s">
        <v>87</v>
      </c>
      <c r="E28" s="41"/>
      <c r="F28" s="21"/>
      <c r="G28" s="31">
        <v>0</v>
      </c>
      <c r="I28" s="9" t="s">
        <v>57</v>
      </c>
    </row>
    <row r="29" spans="1:7" ht="12.5">
      <c r="A29" s="36"/>
      <c r="B29" s="36"/>
      <c r="C29" s="36"/>
      <c r="D29" s="36"/>
      <c r="E29" s="41"/>
      <c r="F29" s="36"/>
      <c r="G29" s="31"/>
    </row>
    <row r="30" spans="1:9" ht="137.5">
      <c r="A30" s="21" t="s">
        <v>68</v>
      </c>
      <c r="B30" s="31">
        <f>(16516058.23+1020592.34)*2</f>
        <v>35073301.140000001</v>
      </c>
      <c r="C30" s="21"/>
      <c r="D30" s="10" t="s">
        <v>151</v>
      </c>
      <c r="E30" s="41"/>
      <c r="F30" s="21"/>
      <c r="G30" s="31">
        <v>0</v>
      </c>
      <c r="I30" s="9" t="s">
        <v>48</v>
      </c>
    </row>
    <row r="31" spans="1:6" ht="12.5">
      <c r="A31" s="36"/>
      <c r="B31" s="36"/>
      <c r="C31" s="36"/>
      <c r="D31" s="36"/>
      <c r="E31" s="41"/>
      <c r="F31" s="36"/>
    </row>
    <row r="32" spans="1:7" ht="26">
      <c r="A32" s="21" t="s">
        <v>3</v>
      </c>
      <c r="B32" s="31">
        <f>B26-B28-B30</f>
        <v>11276698.859999999</v>
      </c>
      <c r="C32" s="21"/>
      <c r="D32" s="21"/>
      <c r="E32" s="41"/>
      <c r="F32" s="21"/>
      <c r="G32" s="31">
        <f>G26-G28-G30</f>
        <v>57600000</v>
      </c>
    </row>
    <row r="33" spans="1:7" ht="12.5">
      <c r="A33" s="34"/>
      <c r="B33" s="34"/>
      <c r="C33" s="34"/>
      <c r="D33" s="34"/>
      <c r="E33" s="41"/>
      <c r="F33" s="34"/>
      <c r="G33" s="31"/>
    </row>
    <row r="34" spans="1:7" ht="26">
      <c r="A34" s="35" t="s">
        <v>15</v>
      </c>
      <c r="B34" s="31">
        <v>38000000</v>
      </c>
      <c r="C34" s="35"/>
      <c r="D34" s="35"/>
      <c r="E34" s="41"/>
      <c r="F34" s="35"/>
      <c r="G34" s="31">
        <v>38000000</v>
      </c>
    </row>
    <row r="35" spans="1:7" ht="12.5">
      <c r="A35" s="34"/>
      <c r="B35" s="34"/>
      <c r="C35" s="34"/>
      <c r="D35" s="34"/>
      <c r="E35" s="41"/>
      <c r="F35" s="34"/>
      <c r="G35" s="31"/>
    </row>
    <row r="36" spans="1:9" ht="193" customHeight="1">
      <c r="A36" s="35" t="s">
        <v>69</v>
      </c>
      <c r="B36" s="31">
        <f>12083333.37+16516058.23+1020592.34</f>
        <v>29619983.940000001</v>
      </c>
      <c r="C36" s="35"/>
      <c r="D36" s="12" t="s">
        <v>150</v>
      </c>
      <c r="E36" s="41"/>
      <c r="F36" s="35"/>
      <c r="G36" s="31">
        <f>12083333.37+16224710.78</f>
        <v>28308044.149999999</v>
      </c>
      <c r="I36" s="12" t="s">
        <v>88</v>
      </c>
    </row>
    <row r="37" spans="1:6" ht="12.5">
      <c r="A37" s="34"/>
      <c r="B37" s="34"/>
      <c r="C37" s="34"/>
      <c r="D37" s="34"/>
      <c r="E37" s="41"/>
      <c r="F37" s="34"/>
    </row>
    <row r="38" spans="1:7" ht="26">
      <c r="A38" s="21" t="s">
        <v>16</v>
      </c>
      <c r="B38" s="31">
        <f>B34-B36</f>
        <v>8380016.0599999987</v>
      </c>
      <c r="C38" s="21"/>
      <c r="D38" s="21"/>
      <c r="E38" s="41"/>
      <c r="F38" s="21"/>
      <c r="G38" s="31">
        <f>G34-G36</f>
        <v>9691955.8500000015</v>
      </c>
    </row>
    <row r="39" spans="1:7" ht="65">
      <c r="A39" s="36"/>
      <c r="B39" s="11" t="s">
        <v>17</v>
      </c>
      <c r="C39" s="36"/>
      <c r="D39" s="36"/>
      <c r="E39" s="41"/>
      <c r="F39" s="36"/>
      <c r="G39" s="11" t="s">
        <v>17</v>
      </c>
    </row>
    <row r="40" spans="1:6" ht="13">
      <c r="A40" s="21"/>
      <c r="B40" s="21"/>
      <c r="C40" s="21"/>
      <c r="D40" s="21"/>
      <c r="E40" s="41"/>
      <c r="F40" s="21"/>
    </row>
    <row r="41" spans="1:6" ht="13">
      <c r="A41" s="26"/>
      <c r="B41" s="26"/>
      <c r="C41" s="26"/>
      <c r="D41" s="26"/>
      <c r="E41" s="41"/>
      <c r="F41" s="26"/>
    </row>
    <row r="42" spans="1:9" ht="26">
      <c r="A42" s="21" t="s">
        <v>70</v>
      </c>
      <c r="B42" s="31">
        <f>B32</f>
        <v>11276698.859999999</v>
      </c>
      <c r="C42" s="21"/>
      <c r="D42" s="21"/>
      <c r="E42" s="41"/>
      <c r="F42" s="21"/>
      <c r="G42" s="31">
        <f>G32-'1 - First Distribution '!F26-'2 - Second Distribution'!F71</f>
        <v>35156510.728634067</v>
      </c>
      <c r="I42" s="13" t="s">
        <v>49</v>
      </c>
    </row>
    <row r="43" spans="1:6" ht="13">
      <c r="A43" s="26"/>
      <c r="B43" s="26"/>
      <c r="C43" s="26"/>
      <c r="D43" s="26"/>
      <c r="E43" s="41"/>
      <c r="F43" s="26"/>
    </row>
    <row r="44" spans="1:6" ht="13">
      <c r="A44" s="43" t="s">
        <v>18</v>
      </c>
      <c r="B44" s="43"/>
      <c r="C44" s="43"/>
      <c r="D44" s="43"/>
      <c r="E44" s="41"/>
      <c r="F44" s="43"/>
    </row>
    <row r="45" spans="1:6" ht="13">
      <c r="A45" s="26"/>
      <c r="B45" s="26"/>
      <c r="C45" s="26"/>
      <c r="D45" s="26"/>
      <c r="E45" s="41"/>
      <c r="F45" s="26"/>
    </row>
    <row r="46" spans="1:9" ht="53.15" customHeight="1">
      <c r="A46" s="21" t="s">
        <v>71</v>
      </c>
      <c r="B46" s="31">
        <v>3000000</v>
      </c>
      <c r="C46" s="21"/>
      <c r="D46" s="21"/>
      <c r="E46" s="41"/>
      <c r="F46" s="21"/>
      <c r="G46" s="31">
        <v>3000000</v>
      </c>
      <c r="I46" s="9" t="s">
        <v>58</v>
      </c>
    </row>
    <row r="47" spans="1:7" ht="13">
      <c r="A47" s="26"/>
      <c r="B47" s="26"/>
      <c r="C47" s="26"/>
      <c r="D47" s="26"/>
      <c r="E47" s="41"/>
      <c r="F47" s="26"/>
      <c r="G47" s="31"/>
    </row>
    <row r="48" spans="1:9" ht="125">
      <c r="A48" s="21" t="s">
        <v>144</v>
      </c>
      <c r="B48" s="31">
        <f>(1069000.53+71345.49)*2</f>
        <v>2280692.04</v>
      </c>
      <c r="C48" s="6"/>
      <c r="D48" s="9" t="s">
        <v>89</v>
      </c>
      <c r="E48" s="41"/>
      <c r="F48" s="21"/>
      <c r="G48" s="31">
        <v>0</v>
      </c>
      <c r="I48" s="9" t="s">
        <v>59</v>
      </c>
    </row>
    <row r="49" spans="1:7" ht="12.5">
      <c r="A49" s="31"/>
      <c r="B49" s="31"/>
      <c r="C49" s="31"/>
      <c r="D49" s="31"/>
      <c r="E49" s="41"/>
      <c r="F49" s="31"/>
      <c r="G49" s="31"/>
    </row>
    <row r="50" spans="1:7" ht="26">
      <c r="A50" s="21" t="s">
        <v>19</v>
      </c>
      <c r="B50" s="31">
        <f>B46-B48</f>
        <v>719307.96</v>
      </c>
      <c r="C50" s="21"/>
      <c r="D50" s="21"/>
      <c r="E50" s="41"/>
      <c r="F50" s="21"/>
      <c r="G50" s="31">
        <f>G46-G48</f>
        <v>3000000</v>
      </c>
    </row>
    <row r="51" spans="2:7" ht="12.5">
      <c r="B51" s="31"/>
      <c r="E51" s="41"/>
      <c r="G51" s="31"/>
    </row>
    <row r="52" spans="1:7" ht="26">
      <c r="A52" s="35" t="s">
        <v>41</v>
      </c>
      <c r="B52" s="31">
        <v>2000000</v>
      </c>
      <c r="C52" s="35"/>
      <c r="D52" s="35"/>
      <c r="E52" s="41"/>
      <c r="F52" s="35"/>
      <c r="G52" s="31">
        <v>2000000</v>
      </c>
    </row>
    <row r="53" spans="2:7" ht="12.5">
      <c r="B53" s="31"/>
      <c r="E53" s="41"/>
      <c r="G53" s="31"/>
    </row>
    <row r="54" spans="1:9" ht="112.5">
      <c r="A54" s="35" t="s">
        <v>72</v>
      </c>
      <c r="B54" s="31">
        <f>1069000.53+71345.49</f>
        <v>1140346.02</v>
      </c>
      <c r="C54" s="35"/>
      <c r="D54" s="12" t="s">
        <v>145</v>
      </c>
      <c r="E54" s="41"/>
      <c r="F54" s="35"/>
      <c r="G54" s="31">
        <f>1069000.53+71345.49</f>
        <v>1140346.02</v>
      </c>
      <c r="I54" s="12" t="s">
        <v>90</v>
      </c>
    </row>
    <row r="55" spans="1:9" ht="12.5">
      <c r="A55" s="31"/>
      <c r="B55" s="31"/>
      <c r="C55" s="31"/>
      <c r="D55" s="31"/>
      <c r="E55" s="41"/>
      <c r="F55" s="31"/>
      <c r="G55" s="31"/>
      <c r="I55" s="13"/>
    </row>
    <row r="56" spans="1:9" ht="26">
      <c r="A56" s="21" t="s">
        <v>20</v>
      </c>
      <c r="B56" s="31">
        <f>B52-B54</f>
        <v>859653.98</v>
      </c>
      <c r="C56" s="21"/>
      <c r="D56" s="21"/>
      <c r="E56" s="41"/>
      <c r="F56" s="21"/>
      <c r="G56" s="31">
        <f>G52-G54</f>
        <v>859653.98</v>
      </c>
      <c r="I56" s="13"/>
    </row>
    <row r="57" spans="1:9" ht="12.5">
      <c r="A57" s="31"/>
      <c r="B57" s="31"/>
      <c r="C57" s="31"/>
      <c r="D57" s="31"/>
      <c r="E57" s="41"/>
      <c r="F57" s="31"/>
      <c r="G57" s="31"/>
      <c r="I57" s="13"/>
    </row>
    <row r="58" spans="1:9" ht="65">
      <c r="A58" s="21"/>
      <c r="B58" s="21" t="s">
        <v>37</v>
      </c>
      <c r="C58" s="21"/>
      <c r="D58" s="21"/>
      <c r="E58" s="41"/>
      <c r="F58" s="21"/>
      <c r="G58" s="11" t="s">
        <v>17</v>
      </c>
      <c r="I58" s="13"/>
    </row>
    <row r="59" spans="1:9" ht="13">
      <c r="A59" s="21"/>
      <c r="B59" s="21"/>
      <c r="C59" s="21"/>
      <c r="D59" s="21"/>
      <c r="E59" s="41"/>
      <c r="F59" s="21"/>
      <c r="G59" s="31"/>
      <c r="I59" s="13"/>
    </row>
    <row r="60" spans="1:9" ht="26">
      <c r="A60" s="21" t="s">
        <v>73</v>
      </c>
      <c r="B60" s="55">
        <f>B56</f>
        <v>859653.98</v>
      </c>
      <c r="C60" s="21"/>
      <c r="D60" s="21"/>
      <c r="E60" s="41"/>
      <c r="F60" s="21"/>
      <c r="G60" s="49">
        <f>G50-'1 - First Distribution '!F28-'2 - Second Distribution'!F73</f>
        <v>1831068.2671163576</v>
      </c>
      <c r="I60" s="13" t="s">
        <v>60</v>
      </c>
    </row>
    <row r="61" spans="1:9" ht="13">
      <c r="A61" s="26"/>
      <c r="B61" s="26"/>
      <c r="C61" s="26"/>
      <c r="D61" s="26"/>
      <c r="E61" s="41"/>
      <c r="F61" s="26"/>
      <c r="G61" s="31"/>
      <c r="I61" s="13"/>
    </row>
    <row r="62" spans="1:9" ht="13">
      <c r="A62" s="43" t="s">
        <v>21</v>
      </c>
      <c r="B62" s="43"/>
      <c r="C62" s="43"/>
      <c r="D62" s="43"/>
      <c r="E62" s="41"/>
      <c r="F62" s="43"/>
      <c r="G62" s="31"/>
      <c r="I62" s="13"/>
    </row>
    <row r="63" spans="1:9" ht="13">
      <c r="A63" s="26"/>
      <c r="B63" s="26"/>
      <c r="C63" s="26"/>
      <c r="D63" s="26"/>
      <c r="E63" s="41"/>
      <c r="F63" s="26"/>
      <c r="G63" s="31"/>
      <c r="I63" s="13"/>
    </row>
    <row r="64" spans="1:9" ht="26">
      <c r="A64" s="37" t="s">
        <v>22</v>
      </c>
      <c r="B64" s="5">
        <v>72200000</v>
      </c>
      <c r="C64" s="37"/>
      <c r="D64" s="37"/>
      <c r="E64" s="41"/>
      <c r="F64" s="37"/>
      <c r="G64" s="31">
        <v>72200000</v>
      </c>
      <c r="I64" s="13"/>
    </row>
    <row r="65" spans="1:9" ht="87.5">
      <c r="A65" s="37" t="s">
        <v>75</v>
      </c>
      <c r="B65" s="5">
        <f>'2 - Second Distribution'!B54+'2 - Second Distribution'!B75</f>
        <v>7264322.3794708112</v>
      </c>
      <c r="C65" s="6"/>
      <c r="D65" s="38" t="s">
        <v>168</v>
      </c>
      <c r="E65" s="41"/>
      <c r="F65" s="26"/>
      <c r="G65" s="31">
        <f>'1 - First Distribution '!F30-'2 - Second Distribution'!F75</f>
        <v>20068396.820011239</v>
      </c>
      <c r="I65" s="13"/>
    </row>
    <row r="66" spans="1:9" ht="50">
      <c r="A66" s="21" t="s">
        <v>74</v>
      </c>
      <c r="B66" s="5">
        <f>B64-B65</f>
        <v>64935677.62052919</v>
      </c>
      <c r="C66" s="21"/>
      <c r="D66" s="21"/>
      <c r="E66" s="41"/>
      <c r="F66" s="21"/>
      <c r="G66" s="5">
        <f>G64-'1 - First Distribution '!F30-'2 - Second Distribution'!F75</f>
        <v>44067709.628600344</v>
      </c>
      <c r="I66" s="13" t="s">
        <v>61</v>
      </c>
    </row>
    <row r="67" spans="5:9" ht="12.5">
      <c r="E67" s="41"/>
      <c r="G67" s="31"/>
      <c r="I67" s="13"/>
    </row>
    <row r="68" spans="1:9" ht="13">
      <c r="A68" s="43" t="s">
        <v>23</v>
      </c>
      <c r="B68" s="43"/>
      <c r="C68" s="43"/>
      <c r="D68" s="43"/>
      <c r="E68" s="41"/>
      <c r="F68" s="43"/>
      <c r="G68" s="31"/>
      <c r="I68" s="13"/>
    </row>
    <row r="69" spans="5:9" ht="12.5">
      <c r="E69" s="41"/>
      <c r="G69" s="31"/>
      <c r="I69" s="13"/>
    </row>
    <row r="70" spans="1:9" ht="26">
      <c r="A70" s="37" t="s">
        <v>24</v>
      </c>
      <c r="B70" s="5">
        <v>45100000</v>
      </c>
      <c r="C70" s="37"/>
      <c r="D70" s="37"/>
      <c r="E70" s="41"/>
      <c r="F70" s="37"/>
      <c r="G70" s="31">
        <v>45100000</v>
      </c>
      <c r="I70" s="13"/>
    </row>
    <row r="71" spans="1:9" ht="112.5">
      <c r="A71" s="37" t="s">
        <v>148</v>
      </c>
      <c r="B71" s="5">
        <f>'2 - Second Distribution'!B61+'2 - Second Distribution'!B77</f>
        <v>3488063.4071960282</v>
      </c>
      <c r="C71" s="26"/>
      <c r="D71" s="38" t="s">
        <v>169</v>
      </c>
      <c r="E71" s="41"/>
      <c r="F71" s="26"/>
      <c r="I71" s="13"/>
    </row>
    <row r="72" spans="1:9" ht="50">
      <c r="A72" s="21" t="s">
        <v>76</v>
      </c>
      <c r="B72" s="5">
        <f>B70-B71</f>
        <v>41611936.59280397</v>
      </c>
      <c r="C72" s="21"/>
      <c r="D72" s="21"/>
      <c r="E72" s="41"/>
      <c r="F72" s="21"/>
      <c r="G72" s="31">
        <f>G70-'1 - First Distribution '!F32-'2 - Second Distribution'!F77</f>
        <v>27527059.615649242</v>
      </c>
      <c r="I72" s="13" t="s">
        <v>62</v>
      </c>
    </row>
    <row r="73" spans="5:9" ht="12.5">
      <c r="E73" s="41"/>
      <c r="I73" s="13"/>
    </row>
    <row r="74" spans="1:9" ht="13">
      <c r="A74" s="43" t="s">
        <v>25</v>
      </c>
      <c r="B74" s="43"/>
      <c r="C74" s="43"/>
      <c r="D74" s="43"/>
      <c r="E74" s="41"/>
      <c r="F74" s="43"/>
      <c r="I74" s="13"/>
    </row>
    <row r="75" spans="5:9" ht="12.5">
      <c r="E75" s="41"/>
      <c r="I75" s="13"/>
    </row>
    <row r="76" spans="1:9" ht="39">
      <c r="A76" s="11" t="s">
        <v>43</v>
      </c>
      <c r="B76" s="31">
        <f>B42+B60+B66+B72</f>
        <v>118683967.05333316</v>
      </c>
      <c r="C76" s="11"/>
      <c r="D76" s="11"/>
      <c r="E76" s="41"/>
      <c r="F76" s="11"/>
      <c r="G76" s="31">
        <f>G42+G60+G66+G72</f>
        <v>108582348.24000001</v>
      </c>
      <c r="H76" s="12" t="s">
        <v>27</v>
      </c>
      <c r="I76" s="13" t="s">
        <v>27</v>
      </c>
    </row>
    <row r="77" spans="1:9" ht="13">
      <c r="A77" s="11"/>
      <c r="B77" s="11"/>
      <c r="C77" s="11"/>
      <c r="D77" s="11"/>
      <c r="E77" s="41"/>
      <c r="F77" s="11"/>
      <c r="G77" s="31"/>
      <c r="I77" s="13"/>
    </row>
    <row r="78" spans="1:9" ht="13">
      <c r="A78" s="26" t="s">
        <v>156</v>
      </c>
      <c r="B78" s="26"/>
      <c r="C78" s="26"/>
      <c r="D78" s="26"/>
      <c r="E78" s="41"/>
      <c r="F78" s="26"/>
      <c r="H78" s="26"/>
      <c r="I78" s="13"/>
    </row>
    <row r="79" spans="1:10" ht="13">
      <c r="A79" s="45" t="s">
        <v>32</v>
      </c>
      <c r="B79" s="31">
        <f>B42/B76*B22</f>
        <v>2386664.7402270571</v>
      </c>
      <c r="C79" s="52"/>
      <c r="D79" s="45"/>
      <c r="E79" s="41"/>
      <c r="F79" s="45"/>
      <c r="G79" s="31">
        <f>G42/G76*G22</f>
        <v>8132948.5291062398</v>
      </c>
      <c r="H79" s="52"/>
      <c r="I79" s="19"/>
      <c r="J79" s="31"/>
    </row>
    <row r="80" spans="1:8" ht="13">
      <c r="A80" s="45" t="s">
        <v>33</v>
      </c>
      <c r="B80" s="31">
        <f>B60/B76*B22</f>
        <v>181942.06197520607</v>
      </c>
      <c r="C80" s="52"/>
      <c r="D80" s="45"/>
      <c r="E80" s="41"/>
      <c r="F80" s="45"/>
      <c r="G80" s="31">
        <f>G60/G76*G22</f>
        <v>423591.06922428327</v>
      </c>
      <c r="H80" s="52"/>
    </row>
    <row r="81" spans="1:9" ht="50">
      <c r="A81" s="45" t="s">
        <v>77</v>
      </c>
      <c r="B81" s="31">
        <f>B66/B76*B22</f>
        <v>13743356.463069391</v>
      </c>
      <c r="C81" s="52"/>
      <c r="D81" s="45"/>
      <c r="E81" s="41"/>
      <c r="F81" s="45"/>
      <c r="G81" s="31">
        <f>G66/G76*G22</f>
        <v>10194425.065997753</v>
      </c>
      <c r="H81" s="52"/>
      <c r="I81" s="12" t="s">
        <v>85</v>
      </c>
    </row>
    <row r="82" spans="1:8" ht="13">
      <c r="A82" s="45" t="s">
        <v>157</v>
      </c>
      <c r="B82" s="31">
        <f>B81+'3 - Catch-up Payments'!B49</f>
        <v>13743356.463069391</v>
      </c>
      <c r="C82" s="52"/>
      <c r="D82" s="45"/>
      <c r="E82" s="41"/>
      <c r="F82" s="45"/>
      <c r="G82" s="31">
        <f>G81+'3 - Catch-up Payments'!F49</f>
        <v>7210212.0759224035</v>
      </c>
      <c r="H82" s="52"/>
    </row>
    <row r="83" spans="1:9" ht="50">
      <c r="A83" s="45" t="s">
        <v>83</v>
      </c>
      <c r="B83" s="31">
        <f>B72/B76*B22</f>
        <v>8806987.1397283431</v>
      </c>
      <c r="C83" s="52"/>
      <c r="D83" s="45"/>
      <c r="E83" s="41"/>
      <c r="F83" s="45"/>
      <c r="G83" s="31">
        <f>G72/G76*G22</f>
        <v>6367985.7406717259</v>
      </c>
      <c r="H83" s="52"/>
      <c r="I83" s="12" t="s">
        <v>84</v>
      </c>
    </row>
    <row r="84" spans="1:8" ht="13">
      <c r="A84" s="45" t="s">
        <v>157</v>
      </c>
      <c r="B84" s="31">
        <f>B83+'3 - Catch-up Payments'!B51</f>
        <v>8806987.1397283431</v>
      </c>
      <c r="C84" s="52"/>
      <c r="D84" s="45"/>
      <c r="E84" s="41"/>
      <c r="F84" s="45"/>
      <c r="G84" s="31">
        <f>G83+'3 - Catch-up Payments'!F51</f>
        <v>4416774.3193446081</v>
      </c>
      <c r="H84" s="52"/>
    </row>
    <row r="85" spans="1:8" ht="13">
      <c r="A85" s="45"/>
      <c r="B85" s="31"/>
      <c r="C85" s="52"/>
      <c r="D85" s="45"/>
      <c r="E85" s="41"/>
      <c r="F85" s="45"/>
      <c r="G85" s="31"/>
      <c r="H85" s="52"/>
    </row>
    <row r="86" spans="1:7" ht="13">
      <c r="A86" s="26"/>
      <c r="G86" s="31"/>
    </row>
    <row r="87" spans="1:16" ht="59.5" customHeight="1">
      <c r="A87" s="11" t="s">
        <v>158</v>
      </c>
      <c r="B87" s="26">
        <f>B79+B80+B82+B84</f>
        <v>25118950.404999997</v>
      </c>
      <c r="C87" s="11"/>
      <c r="D87" s="11"/>
      <c r="E87" s="11"/>
      <c r="F87" s="11"/>
      <c r="G87" s="26">
        <f>G79+G80+G82+G84</f>
        <v>20183525.993597537</v>
      </c>
      <c r="I87" s="57"/>
      <c r="M87" s="31"/>
      <c r="P87" s="31"/>
    </row>
    <row r="88" spans="1:13" ht="62.5" customHeight="1">
      <c r="A88" s="10"/>
      <c r="B88" s="31"/>
      <c r="G88" s="31"/>
      <c r="I88" s="57"/>
      <c r="M88" s="31"/>
    </row>
    <row r="89" spans="1:15" ht="54" customHeight="1">
      <c r="A89" s="10"/>
      <c r="B89" s="31"/>
      <c r="G89" s="31"/>
      <c r="I89" s="57"/>
      <c r="M89" s="31"/>
      <c r="N89" s="31"/>
      <c r="O89" s="31"/>
    </row>
    <row r="90" spans="1:14" ht="12.5">
      <c r="A90" s="10"/>
      <c r="B90" s="31"/>
      <c r="G90" s="31"/>
      <c r="H90" s="31"/>
      <c r="I90" s="57"/>
      <c r="J90" s="47"/>
      <c r="M90" s="31"/>
      <c r="N90" s="31"/>
    </row>
    <row r="91" spans="8:15" ht="12.5">
      <c r="H91" s="31"/>
      <c r="J91" s="46"/>
      <c r="M91" s="31"/>
      <c r="N91" s="31"/>
      <c r="O91" s="31"/>
    </row>
    <row r="92" spans="1:13" ht="13">
      <c r="A92" s="51"/>
      <c r="H92" s="31"/>
      <c r="J92" s="46"/>
      <c r="M92" s="31"/>
    </row>
    <row r="93" spans="1:10" ht="13">
      <c r="A93" s="45"/>
      <c r="B93" s="31"/>
      <c r="C93" s="52"/>
      <c r="G93" s="31"/>
      <c r="H93" s="52"/>
      <c r="I93" s="31"/>
      <c r="J93" s="47"/>
    </row>
    <row r="94" spans="1:10" ht="13">
      <c r="A94" s="45"/>
      <c r="B94" s="31"/>
      <c r="C94" s="52"/>
      <c r="G94" s="31"/>
      <c r="H94" s="52"/>
      <c r="J94" s="47"/>
    </row>
    <row r="95" spans="1:8" ht="13">
      <c r="A95" s="45"/>
      <c r="B95" s="31"/>
      <c r="C95" s="52"/>
      <c r="G95" s="31"/>
      <c r="H95" s="52"/>
    </row>
    <row r="96" spans="1:8" ht="13">
      <c r="A96" s="45"/>
      <c r="B96" s="31"/>
      <c r="C96" s="52"/>
      <c r="G96" s="31"/>
      <c r="H96" s="52"/>
    </row>
    <row r="97" spans="1:8" ht="13">
      <c r="A97" s="11"/>
      <c r="B97" s="31"/>
      <c r="C97" s="52"/>
      <c r="G97" s="31"/>
      <c r="H97" s="52"/>
    </row>
    <row r="100" ht="13">
      <c r="A100" s="11"/>
    </row>
    <row r="101" spans="1:7" ht="13">
      <c r="A101" s="45"/>
      <c r="B101" s="31"/>
      <c r="G101" s="31"/>
    </row>
    <row r="102" spans="1:7" ht="13">
      <c r="A102" s="45"/>
      <c r="B102" s="31"/>
      <c r="G102" s="31"/>
    </row>
    <row r="103" spans="1:7" ht="13">
      <c r="A103" s="45"/>
      <c r="B103" s="31"/>
      <c r="G103" s="31"/>
    </row>
    <row r="104" spans="1:7" ht="13">
      <c r="A104" s="45"/>
      <c r="B104" s="31"/>
      <c r="G104" s="31"/>
    </row>
    <row r="105" spans="1:7" ht="13">
      <c r="A105" s="11"/>
      <c r="B105" s="31"/>
      <c r="G105" s="31"/>
    </row>
    <row r="106" ht="12.5">
      <c r="B106" s="31"/>
    </row>
  </sheetData>
  <pageMargins left="0.7" right="0.7" top="0.75" bottom="0.75" header="0.3" footer="0.3"/>
  <pageSetup fitToHeight="0" orientation="portrait" paperSize="9" scale="10" r:id="rId1"/>
</worksheet>
</file>

<file path=customXml/_rels/item1.xml.rels><?xml version="1.0" encoding="UTF-8" standalone="yes"?><Relationships xmlns="http://schemas.openxmlformats.org/package/2006/relationships"><Relationship Id="rId1" Type="http://schemas.openxmlformats.org/officeDocument/2006/relationships/customXmlProps" Target="itemProps1.xml" /></Relationships>
</file>

<file path=customXml/_rels/item2.xml.rels><?xml version="1.0" encoding="UTF-8" standalone="yes"?><Relationships xmlns="http://schemas.openxmlformats.org/package/2006/relationships"><Relationship Id="rId1" Type="http://schemas.openxmlformats.org/officeDocument/2006/relationships/customXmlProps" Target="itemProps2.xml" /></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1 6 " ? > < p r o p e r t i e s   x m l n s = " h t t p : / / w w w . i m a n a g e . c o m / w o r k / x m l s c h e m a " >  
     < d o c u m e n t i d > E U L E G A L ! 1 2 2 4 6 1 2 1 5 . 4 < / d o c u m e n t i d >  
     < s e n d e r i d > A W A T T E R S < / s e n d e r i d >  
     < s e n d e r e m a i l > A D A M . W A T T E R S O N @ K I R K L A N D . C O M < / s e n d e r e m a i l >  
     < l a s t m o d i f i e d > 2 0 2 3 - 0 8 - 1 1 T 0 9 : 1 4 : 4 3 . 0 0 0 0 0 0 0 + 0 1 : 0 0 < / l a s t m o d i f i e d >  
     < d a t a b a s e > E U L E G A L < / d a t a b a s e >  
 < / p r o p e r t i e s > 
</file>

<file path=customXml/item2.xml>��< ? x m l   v e r s i o n = " 1 . 0 "   e n c o d i n g = " u t f - 1 6 " ? > < p r o p e r t i e s   x m l n s = " h t t p : / / w w w . i m a n a g e . c o m / w o r k / x m l s c h e m a " >  
     < d o c u m e n t i d > E M E C U R R E N T ! 9 5 6 0 2 4 3 0 7 . 1 < / d o c u m e n t i d >  
     < s e n d e r i d > B W 0 5 5 3 5 3 < / s e n d e r i d >  
     < s e n d e r e m a i l > B W a r d @ m a y e r b r o w n . c o m < / s e n d e r e m a i l >  
     < l a s t m o d i f i e d > 2 0 2 3 - 0 6 - 0 5 T 1 6 : 3 1 : 1 4 . 0 0 0 0 0 0 0 + 0 1 : 0 0 < / l a s t m o d i f i e d >  
     < d a t a b a s e > E M E C U R R E N T < / d a t a b a s e >  
 < / p r o p e r t i e s > 
</file>

<file path=customXml/item3.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ABDF943-9C8B-40A1-84CB-F844F7313C27}">
  <ds:schemaRefs>
    <ds:schemaRef ds:uri="http://www.imanage.com/work/xmlschema"/>
  </ds:schemaRefs>
</ds:datastoreItem>
</file>

<file path=customXml/itemProps2.xml><?xml version="1.0" encoding="utf-8"?>
<ds:datastoreItem xmlns:ds="http://schemas.openxmlformats.org/officeDocument/2006/customXml" ds:itemID="{F4300E3F-26C7-49C3-9A15-9B43C075A283}">
  <ds:schemaRefs>
    <ds:schemaRef ds:uri="http://www.imanage.com/work/xmlschema"/>
  </ds:schemaRefs>
</ds:datastoreItem>
</file>

<file path=customXml/itemProps3.xml><?xml version="1.0" encoding="utf-8"?>
<ds:datastoreItem xmlns:ds="http://schemas.openxmlformats.org/officeDocument/2006/customXml" ds:itemID="{2610C023-468C-4F22-8D71-99FC1E7E30B7}"/>
</file>

<file path=customXml/itemProps4.xml><?xml version="1.0" encoding="utf-8"?>
<ds:datastoreItem xmlns:ds="http://schemas.openxmlformats.org/officeDocument/2006/customXml" ds:itemID="{904C9315-9841-45C0-8270-AD6A73D075AE}"/>
</file>

<file path=customXml/itemProps5.xml><?xml version="1.0" encoding="utf-8"?>
<ds:datastoreItem xmlns:ds="http://schemas.openxmlformats.org/officeDocument/2006/customXml" ds:itemID="{5FE81999-452E-4244-AF54-FDC24BCFB379}"/>
</file>

<file path=docProps/app.xml><?xml version="1.0" encoding="utf-8"?>
<Properties xmlns="http://schemas.openxmlformats.org/officeDocument/2006/extended-properties" xmlns:vt="http://schemas.openxmlformats.org/officeDocument/2006/docPropsVTypes">
  <Application>Microsoft Excel</Application>
  <AppVersion>16.0300</AppVersion>
  <DocSecurity>0</DocSecurity>
  <Template/>
  <Manager/>
  <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T">
    <vt:lpwstr>zMuF4zoYcUaA6re84HIp</vt:lpwstr>
  </property>
  <property fmtid="{D5CDD505-2E9C-101B-9397-08002B2CF9AE}" pid="3" name="KET">
    <vt:lpwstr>hbmQJiBhbmQJiBhbmQJi</vt:lpwstr>
  </property>
  <property fmtid="{D5CDD505-2E9C-101B-9397-08002B2CF9AE}" pid="4" name="CID">
    <vt:lpwstr>5cCp1hUoaQcOX4623yx1</vt:lpwstr>
  </property>
  <property fmtid="{D5CDD505-2E9C-101B-9397-08002B2CF9AE}" pid="5" name="MID">
    <vt:lpwstr>B0gBuE8X2PUkN34jLwe8</vt:lpwstr>
  </property>
</Properties>
</file>